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1"/>
  </bookViews>
  <sheets>
    <sheet name="The Model" sheetId="1" r:id="rId1"/>
    <sheet name="HE sector inflation" sheetId="2" r:id="rId2"/>
    <sheet name="98-04 (03-04 prices)" sheetId="3" r:id="rId3"/>
    <sheet name="94-98 (03-04 prices)" sheetId="4" r:id="rId4"/>
    <sheet name="03-04 by sector and science" sheetId="5" r:id="rId5"/>
    <sheet name="94-98 (cash)" sheetId="6" r:id="rId6"/>
    <sheet name="98-04 (cash)" sheetId="7" r:id="rId7"/>
  </sheets>
  <definedNames>
    <definedName name="OLE_LINK1" localSheetId="4">'03-04 by sector and science'!#REF!</definedName>
  </definedNames>
  <calcPr fullCalcOnLoad="1"/>
</workbook>
</file>

<file path=xl/sharedStrings.xml><?xml version="1.0" encoding="utf-8"?>
<sst xmlns="http://schemas.openxmlformats.org/spreadsheetml/2006/main" count="475" uniqueCount="159">
  <si>
    <t>Tuition fees &amp; education grants &amp; contracts</t>
  </si>
  <si>
    <t>Home &amp; EU domicile</t>
  </si>
  <si>
    <t>HE provision(#5)</t>
  </si>
  <si>
    <t>Recurrent grants (Teaching)</t>
  </si>
  <si>
    <t>Recurrent grants (Research)</t>
  </si>
  <si>
    <t>Recurrent grants (Other)</t>
  </si>
  <si>
    <t>Release of deferred capital grants</t>
  </si>
  <si>
    <t>FE provision(#6)</t>
  </si>
  <si>
    <t xml:space="preserve">Total </t>
  </si>
  <si>
    <t>Standard rates</t>
  </si>
  <si>
    <t>Non-standard rates</t>
  </si>
  <si>
    <t>PT HE fees</t>
  </si>
  <si>
    <t>Overseas (non-EU) domicile</t>
  </si>
  <si>
    <t>Non-credit-bearing course fees</t>
  </si>
  <si>
    <t>Other fees &amp; support grants</t>
  </si>
  <si>
    <t>Research grants &amp; contracts</t>
  </si>
  <si>
    <t>Other income - other services rendered</t>
  </si>
  <si>
    <t>OST Research Councils</t>
  </si>
  <si>
    <t>UK-based charities</t>
  </si>
  <si>
    <t>UK central govt. bodies, local authorities, health &amp; hospital authorities</t>
  </si>
  <si>
    <t>UK industry, commerce &amp; public corporations</t>
  </si>
  <si>
    <t>EU sources</t>
  </si>
  <si>
    <t>Other overseas sources</t>
  </si>
  <si>
    <t>Other sources</t>
  </si>
  <si>
    <t>Course validation fees</t>
  </si>
  <si>
    <t>Knowledge Transfer Partnerships</t>
  </si>
  <si>
    <t>Other income - other</t>
  </si>
  <si>
    <t>Endowment &amp; investment income</t>
  </si>
  <si>
    <t>Residences &amp; catering operations</t>
  </si>
  <si>
    <t>Grants from local authorities</t>
  </si>
  <si>
    <t>Income from health &amp; hospital authorities</t>
  </si>
  <si>
    <t>Income from intellectual property rights</t>
  </si>
  <si>
    <t>Other operating income</t>
  </si>
  <si>
    <t>Specific endowments</t>
  </si>
  <si>
    <t>General endowments</t>
  </si>
  <si>
    <t>Interest receivable</t>
  </si>
  <si>
    <t>Funding council grants</t>
  </si>
  <si>
    <t>FT HE Fees</t>
  </si>
  <si>
    <t>2003-04</t>
  </si>
  <si>
    <t>2001-02</t>
  </si>
  <si>
    <t>219264</t>
  </si>
  <si>
    <t>Teaching companies</t>
  </si>
  <si>
    <t>2000-01</t>
  </si>
  <si>
    <t>209252</t>
  </si>
  <si>
    <t>1999-00</t>
  </si>
  <si>
    <t>1998-98</t>
  </si>
  <si>
    <t>196709</t>
  </si>
  <si>
    <t>Profit on disposal of tangible fixed assets</t>
  </si>
  <si>
    <t>205022</t>
  </si>
  <si>
    <t>2002-03</t>
  </si>
  <si>
    <t>235247</t>
  </si>
  <si>
    <t>1994-95</t>
  </si>
  <si>
    <t>1995-96</t>
  </si>
  <si>
    <t>1996-97</t>
  </si>
  <si>
    <t>1997-98</t>
  </si>
  <si>
    <t>Home rates</t>
  </si>
  <si>
    <t>Other rates</t>
  </si>
  <si>
    <t>180286</t>
  </si>
  <si>
    <t>170197</t>
  </si>
  <si>
    <t>158152</t>
  </si>
  <si>
    <t>144381</t>
  </si>
  <si>
    <t>Inflation multiplier yyyy-2003-04</t>
  </si>
  <si>
    <t>Inflation multiplier for constant prices</t>
  </si>
  <si>
    <t>RPI Inflation to August  (eg. for 94-95 = RPI for year to August 1995)</t>
  </si>
  <si>
    <t>Real terms percentage growth</t>
  </si>
  <si>
    <t>Public</t>
  </si>
  <si>
    <t>Home fees</t>
  </si>
  <si>
    <t>Private/voluntary/EU/overseas fees</t>
  </si>
  <si>
    <t>Private/voluntary/EU</t>
  </si>
  <si>
    <t>Overseas fees</t>
  </si>
  <si>
    <t>Public research</t>
  </si>
  <si>
    <t>Public other</t>
  </si>
  <si>
    <t>Total</t>
  </si>
  <si>
    <t xml:space="preserve">Public </t>
  </si>
  <si>
    <t>Nonpublic</t>
  </si>
  <si>
    <t>Nonscience</t>
  </si>
  <si>
    <t>Science</t>
  </si>
  <si>
    <t>Sector</t>
  </si>
  <si>
    <t>Science status (public only)</t>
  </si>
  <si>
    <t>2004-05</t>
  </si>
  <si>
    <t>2005-06</t>
  </si>
  <si>
    <t>2006-07</t>
  </si>
  <si>
    <t>2007-08</t>
  </si>
  <si>
    <t>2008-09</t>
  </si>
  <si>
    <t>2009-10</t>
  </si>
  <si>
    <t>2010-11</t>
  </si>
  <si>
    <t>Public (science)</t>
  </si>
  <si>
    <t>Public (nonscience)</t>
  </si>
  <si>
    <t>Regulated FT fees</t>
  </si>
  <si>
    <t>Gross</t>
  </si>
  <si>
    <t>Bursaries</t>
  </si>
  <si>
    <t>Net of bursaries</t>
  </si>
  <si>
    <t>Net of bursaries, admin, outreach</t>
  </si>
  <si>
    <t>Admin and outreach</t>
  </si>
  <si>
    <t>2003 entry</t>
  </si>
  <si>
    <t>Total HEFCE (HEFCE announcement)</t>
  </si>
  <si>
    <t>Total HEFCE (DfES letter)</t>
  </si>
  <si>
    <t>HEFCE less DfES R and KT (10 yr strategy)</t>
  </si>
  <si>
    <t>Cash Increase</t>
  </si>
  <si>
    <t>RPI multiplier (known or assumed)</t>
  </si>
  <si>
    <t>Real terms growth</t>
  </si>
  <si>
    <t>UK Science budget + HEFCE research funding (£m)</t>
  </si>
  <si>
    <t>English DfES funding for R and KT</t>
  </si>
  <si>
    <t>Total science</t>
  </si>
  <si>
    <t>Increase</t>
  </si>
  <si>
    <t>Sources</t>
  </si>
  <si>
    <t>http://www.ost.gov.uk/research/funding/budget03-06/dti-sciencebudgetbook.pdf</t>
  </si>
  <si>
    <t>http://www.hm-treasury.gov.uk/spending_review/spend_sr04/associated_documents/spending_sr04_science.cfm</t>
  </si>
  <si>
    <t>http://www.hefce.ac.uk/news/HEFCE/2003/GrantAnn.asp</t>
  </si>
  <si>
    <t>Source</t>
  </si>
  <si>
    <t>http://www.hefce.ac.uk/news/HEFCE/2004/grantann/</t>
  </si>
  <si>
    <t>http://www.hefce.ac.uk/pubs/hefce/2005/05_13/</t>
  </si>
  <si>
    <t>2002 entry</t>
  </si>
  <si>
    <t>2004 entry (includes accession countries)</t>
  </si>
  <si>
    <t>2005 entry (includes accession countries)</t>
  </si>
  <si>
    <t>Year on year growth (%)</t>
  </si>
  <si>
    <t>Year on year percentage increase</t>
  </si>
  <si>
    <t xml:space="preserve">Growth </t>
  </si>
  <si>
    <t>International fees</t>
  </si>
  <si>
    <t>Table 2: Growth estimates and assumptions</t>
  </si>
  <si>
    <t>Table 1: Projections</t>
  </si>
  <si>
    <t>Table 3: Additional regulated fee income (English HEIs)</t>
  </si>
  <si>
    <t>Table 5: Overall government science spending</t>
  </si>
  <si>
    <t>Table 6: Other HEFCE funding</t>
  </si>
  <si>
    <t>Mean year on year increase (%)</t>
  </si>
  <si>
    <t>Table 7: Monies potentially disounted from government funding to meet student support bill</t>
  </si>
  <si>
    <t>Deduction for student support bill</t>
  </si>
  <si>
    <t>Impact on fees upon demand (percentage)</t>
  </si>
  <si>
    <t>Regulated FT fees if demand unaffected</t>
  </si>
  <si>
    <t>n/a</t>
  </si>
  <si>
    <t xml:space="preserve">Variant Table 4: Increases in student numbers </t>
  </si>
  <si>
    <t>Student numbers</t>
  </si>
  <si>
    <t>Total public excluding regulated fees</t>
  </si>
  <si>
    <t>Nonpublic excluding international fees</t>
  </si>
  <si>
    <t>Regulated FT fees after impact upon demand</t>
  </si>
  <si>
    <t>Table 8: Potential impact of fees upon demand</t>
  </si>
  <si>
    <r>
      <t xml:space="preserve">Figures in </t>
    </r>
    <r>
      <rPr>
        <b/>
        <sz val="8"/>
        <color indexed="10"/>
        <rFont val="Arial"/>
        <family val="2"/>
      </rPr>
      <t>red bold</t>
    </r>
    <r>
      <rPr>
        <sz val="8"/>
        <rFont val="Arial"/>
        <family val="2"/>
      </rPr>
      <t xml:space="preserve"> are assumptions (the rationale for them is given in the technical annex). Alter them to see the impact of different scenarios upon sector revenues. The figures in B22 and C22 are taken from the annual growth in full-time home and EU students as measured by HESES (table 4 rows 50 and 51) The figures in cells B20 to C21 are derived from Tables 5 and 6. These figures can also be altered to show the impact of different scenarios on the income total in table 1 as can the tables from which they are derived.</t>
    </r>
  </si>
  <si>
    <r>
      <t xml:space="preserve">Figures in </t>
    </r>
    <r>
      <rPr>
        <b/>
        <sz val="8"/>
        <color indexed="10"/>
        <rFont val="Arial"/>
        <family val="2"/>
      </rPr>
      <t xml:space="preserve">red bold </t>
    </r>
    <r>
      <rPr>
        <sz val="8"/>
        <rFont val="Arial"/>
        <family val="2"/>
      </rPr>
      <t>from table 3 (row 32) and previous year's total. All other figures derived from previous year's figures and growth rates given in table 2 except figures for 2003-04 derived from published HESA statistics</t>
    </r>
  </si>
  <si>
    <r>
      <t xml:space="preserve">Figures in </t>
    </r>
    <r>
      <rPr>
        <b/>
        <sz val="8"/>
        <color indexed="10"/>
        <rFont val="Arial"/>
        <family val="2"/>
      </rPr>
      <t>red bold</t>
    </r>
    <r>
      <rPr>
        <sz val="8"/>
        <color indexed="10"/>
        <rFont val="Arial"/>
        <family val="2"/>
      </rPr>
      <t xml:space="preserve"> </t>
    </r>
    <r>
      <rPr>
        <sz val="8"/>
        <rFont val="Arial"/>
        <family val="2"/>
      </rPr>
      <t>are used to create the estimates for revenue for regulated fees in table 1. If they are changed, or if cells E10 to I10 are linked to figures on rows 30 or 34, table 1 will produce alternate income estimates.</t>
    </r>
  </si>
  <si>
    <r>
      <t xml:space="preserve">The figures in table 4 reflect the annual growth in full-time and sandwich undergraduate home and EU students in the English HE sector in 2004-05 and 2005-06. They are taken from HESES. Figures in </t>
    </r>
    <r>
      <rPr>
        <b/>
        <sz val="8"/>
        <color indexed="10"/>
        <rFont val="Arial"/>
        <family val="2"/>
      </rPr>
      <t>red bold</t>
    </r>
    <r>
      <rPr>
        <sz val="8"/>
        <rFont val="Arial"/>
        <family val="2"/>
      </rPr>
      <t xml:space="preserve"> are used to create the estimates for revenue for regulated fees in table 1. If they are changed table 1 will produce alternate income estimates</t>
    </r>
  </si>
  <si>
    <t>Percentage recouped from HE budgets</t>
  </si>
  <si>
    <t xml:space="preserve">These figures reflect changes in UCAS applications from home and EU stundents. </t>
  </si>
  <si>
    <t>Table 4: Home and EU full-time UCAS applications</t>
  </si>
  <si>
    <t xml:space="preserve">Increase after inflation </t>
  </si>
  <si>
    <r>
      <t xml:space="preserve">HE sector cost increases </t>
    </r>
    <r>
      <rPr>
        <i/>
        <sz val="8"/>
        <rFont val="Arial"/>
        <family val="2"/>
      </rPr>
      <t>beyond</t>
    </r>
    <r>
      <rPr>
        <sz val="8"/>
        <rFont val="Arial"/>
        <family val="2"/>
      </rPr>
      <t xml:space="preserve"> inflation</t>
    </r>
  </si>
  <si>
    <t>Multiplier</t>
  </si>
  <si>
    <t>Table 9: Effect of HE sector inflation</t>
  </si>
  <si>
    <t>See  separate spreadsheet in this workbook called 'HE sector inflation'. That sheet is linked to this one and will reflect the values entered in this sheet as well as the values entered in table 9.</t>
  </si>
  <si>
    <t>Table 9: Effects of HE sector inflation</t>
  </si>
  <si>
    <t xml:space="preserve">This is linked to Table 1 in the sheet entitle 'The Model'. It will reflect the assumptions entered in that spreadsheet as well as those entered in table 9. </t>
  </si>
  <si>
    <t>Cumulative multiplier</t>
  </si>
  <si>
    <r>
      <t xml:space="preserve">This table is designed to show the effects of HE sector costs increasing faster than inflation on the real income of the sector. Enter your estimates of the percentage rate at which you think HE sector costs will increase above and beyond the rate of RPI inflation in the cells where </t>
    </r>
    <r>
      <rPr>
        <b/>
        <sz val="8"/>
        <color indexed="10"/>
        <rFont val="Arial"/>
        <family val="2"/>
      </rPr>
      <t>red bold</t>
    </r>
    <r>
      <rPr>
        <sz val="8"/>
        <color indexed="8"/>
        <rFont val="Arial"/>
        <family val="2"/>
      </rPr>
      <t xml:space="preserve"> font is used. </t>
    </r>
  </si>
  <si>
    <t>Additional spending in steady state</t>
  </si>
  <si>
    <t>Percentage of steady state cost incurred in year in question</t>
  </si>
  <si>
    <t>Additional spending in year in question</t>
  </si>
  <si>
    <t>Loss to HE sector</t>
  </si>
  <si>
    <t>Deduction for loan deferment and student support (see table 7)</t>
  </si>
  <si>
    <t>The Government estimates that it will have to spend a figure equivalent to 42% of gross income from regulated fees on the costs of allowing students to defer loan payments, the costs of the new student grant arrangements net of the costs of opportunity bursaries are discounted are estimated at £280m and the costs of new student support arrangements for part-time and mature students are put at £49m. This table allows you to see what happens if government seeks to recoup a percentage of that expenditure by setting budgets which support universities lower than it otherwise would. The percentage of steady state costs reached by a given year recouped can be changed to give alternate estimates of HEI revenues as can the percentage of costs recouped by reduced spending on funding for institutions.</t>
  </si>
  <si>
    <t>This table is included to give you the opportunity to see the impact of any reductions in demand caused by higher fees. If you think demand will be  5% lower in 2008-09 than it was in 2005-06, type '-5' in cell D84.  It assumes that only fee income will be affected as any downward pressure on public funding levels would become apparent in time to affect public funding in 2010-11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</si>
</sst>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00000000"/>
    <numFmt numFmtId="176" formatCode="&quot;£&quot;#,##0"/>
    <numFmt numFmtId="177" formatCode="#,##0.0"/>
  </numFmts>
  <fonts count="14">
    <font>
      <sz val="10"/>
      <name val="Arial"/>
      <family val="0"/>
    </font>
    <font>
      <b/>
      <sz val="8"/>
      <name val="Arial"/>
      <family val="2"/>
    </font>
    <font>
      <sz val="9"/>
      <name val="Futura CondensedLight"/>
      <family val="0"/>
    </font>
    <font>
      <b/>
      <sz val="8"/>
      <color indexed="8"/>
      <name val="Arial"/>
      <family val="2"/>
    </font>
    <font>
      <sz val="8"/>
      <name val="Arial"/>
      <family val="2"/>
    </font>
    <font>
      <sz val="8"/>
      <color indexed="8"/>
      <name val="Arial"/>
      <family val="2"/>
    </font>
    <font>
      <b/>
      <sz val="10"/>
      <color indexed="8"/>
      <name val="Arial"/>
      <family val="2"/>
    </font>
    <font>
      <b/>
      <sz val="9"/>
      <name val="Arial"/>
      <family val="2"/>
    </font>
    <font>
      <b/>
      <sz val="10"/>
      <name val="Arial"/>
      <family val="2"/>
    </font>
    <font>
      <u val="single"/>
      <sz val="10"/>
      <color indexed="12"/>
      <name val="Arial"/>
      <family val="0"/>
    </font>
    <font>
      <u val="single"/>
      <sz val="10"/>
      <color indexed="36"/>
      <name val="Arial"/>
      <family val="0"/>
    </font>
    <font>
      <b/>
      <sz val="8"/>
      <color indexed="10"/>
      <name val="Arial"/>
      <family val="2"/>
    </font>
    <font>
      <sz val="8"/>
      <color indexed="10"/>
      <name val="Arial"/>
      <family val="2"/>
    </font>
    <font>
      <i/>
      <sz val="8"/>
      <name val="Arial"/>
      <family val="2"/>
    </font>
  </fonts>
  <fills count="2">
    <fill>
      <patternFill/>
    </fill>
    <fill>
      <patternFill patternType="gray125"/>
    </fill>
  </fills>
  <borders count="1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10"/>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1">
    <xf numFmtId="0" fontId="0" fillId="0" borderId="0" xfId="0" applyAlignment="1">
      <alignment/>
    </xf>
    <xf numFmtId="1" fontId="1" fillId="0" borderId="0" xfId="21" applyNumberFormat="1" applyFont="1" applyBorder="1" applyAlignment="1">
      <alignment/>
    </xf>
    <xf numFmtId="1" fontId="4" fillId="0" borderId="0" xfId="21" applyNumberFormat="1" applyFont="1" applyBorder="1" applyAlignment="1">
      <alignment/>
    </xf>
    <xf numFmtId="1" fontId="4" fillId="0" borderId="0" xfId="21" applyNumberFormat="1" applyFont="1" applyFill="1" applyBorder="1" applyAlignment="1">
      <alignment/>
    </xf>
    <xf numFmtId="1" fontId="3" fillId="0" borderId="0" xfId="21" applyNumberFormat="1" applyFont="1" applyFill="1" applyBorder="1" applyAlignment="1">
      <alignment/>
    </xf>
    <xf numFmtId="1" fontId="1" fillId="0" borderId="0" xfId="21" applyNumberFormat="1" applyFont="1" applyFill="1" applyBorder="1" applyAlignment="1">
      <alignment/>
    </xf>
    <xf numFmtId="1" fontId="3" fillId="0" borderId="0" xfId="21" applyNumberFormat="1" applyFont="1" applyFill="1" applyAlignment="1">
      <alignment/>
    </xf>
    <xf numFmtId="1" fontId="3" fillId="0" borderId="0" xfId="21" applyNumberFormat="1" applyFont="1" applyFill="1" applyBorder="1" applyAlignment="1">
      <alignment/>
    </xf>
    <xf numFmtId="49" fontId="1" fillId="0" borderId="0" xfId="21" applyNumberFormat="1" applyFont="1" applyFill="1" applyBorder="1" applyAlignment="1">
      <alignment/>
    </xf>
    <xf numFmtId="0" fontId="0" fillId="0" borderId="0" xfId="0" applyBorder="1" applyAlignment="1">
      <alignment/>
    </xf>
    <xf numFmtId="1" fontId="4" fillId="0" borderId="0" xfId="21" applyNumberFormat="1" applyFont="1" applyFill="1" applyBorder="1" applyAlignment="1">
      <alignment horizontal="right" wrapText="1"/>
    </xf>
    <xf numFmtId="1" fontId="1" fillId="0" borderId="0" xfId="21" applyNumberFormat="1" applyFont="1" applyFill="1" applyBorder="1" applyAlignment="1">
      <alignment horizontal="right"/>
    </xf>
    <xf numFmtId="49" fontId="1" fillId="0" borderId="0" xfId="21" applyNumberFormat="1" applyFont="1" applyFill="1" applyBorder="1" applyAlignment="1">
      <alignment/>
    </xf>
    <xf numFmtId="1" fontId="1" fillId="0" borderId="1" xfId="21" applyNumberFormat="1" applyFont="1" applyFill="1" applyBorder="1" applyAlignment="1">
      <alignment horizontal="left" wrapText="1"/>
    </xf>
    <xf numFmtId="1" fontId="1" fillId="0" borderId="0" xfId="21" applyNumberFormat="1" applyFont="1" applyFill="1" applyBorder="1" applyAlignment="1">
      <alignment horizontal="center" wrapText="1"/>
    </xf>
    <xf numFmtId="1" fontId="4" fillId="0" borderId="0" xfId="21" applyNumberFormat="1" applyFont="1" applyFill="1" applyBorder="1" applyAlignment="1">
      <alignment horizontal="right"/>
    </xf>
    <xf numFmtId="1" fontId="3" fillId="0" borderId="0" xfId="21" applyNumberFormat="1" applyFont="1" applyFill="1" applyBorder="1" applyAlignment="1">
      <alignment horizontal="left"/>
    </xf>
    <xf numFmtId="1" fontId="3" fillId="0" borderId="0" xfId="21" applyNumberFormat="1" applyFont="1" applyFill="1" applyBorder="1" applyAlignment="1">
      <alignment horizontal="center"/>
    </xf>
    <xf numFmtId="1" fontId="6" fillId="0" borderId="0" xfId="21" applyNumberFormat="1" applyFont="1" applyFill="1" applyBorder="1" applyAlignment="1">
      <alignment horizontal="left"/>
    </xf>
    <xf numFmtId="1" fontId="3" fillId="0" borderId="0" xfId="21" applyNumberFormat="1" applyFont="1" applyFill="1" applyBorder="1" applyAlignment="1">
      <alignment horizontal="left" wrapText="1"/>
    </xf>
    <xf numFmtId="1" fontId="3" fillId="0" borderId="0" xfId="21" applyNumberFormat="1" applyFont="1" applyFill="1" applyBorder="1" applyAlignment="1">
      <alignment horizontal="right"/>
    </xf>
    <xf numFmtId="1" fontId="5" fillId="0" borderId="0" xfId="21" applyNumberFormat="1" applyFont="1" applyFill="1" applyBorder="1" applyAlignment="1">
      <alignment horizontal="right" wrapText="1"/>
    </xf>
    <xf numFmtId="0" fontId="1" fillId="0" borderId="0" xfId="21" applyFont="1" applyBorder="1" applyAlignment="1">
      <alignment horizontal="center"/>
    </xf>
    <xf numFmtId="1" fontId="6" fillId="0" borderId="0" xfId="21" applyNumberFormat="1" applyFont="1" applyFill="1" applyBorder="1" applyAlignment="1">
      <alignment horizontal="left" wrapText="1"/>
    </xf>
    <xf numFmtId="0" fontId="7" fillId="0" borderId="0" xfId="21" applyFont="1" applyBorder="1" applyAlignment="1">
      <alignment horizontal="left"/>
    </xf>
    <xf numFmtId="1" fontId="3" fillId="0" borderId="0" xfId="21" applyNumberFormat="1" applyFont="1" applyFill="1" applyBorder="1" applyAlignment="1">
      <alignment wrapText="1"/>
    </xf>
    <xf numFmtId="49" fontId="3" fillId="0" borderId="0" xfId="21" applyNumberFormat="1" applyFont="1" applyFill="1" applyBorder="1" applyAlignment="1">
      <alignment wrapText="1"/>
    </xf>
    <xf numFmtId="1" fontId="1" fillId="0" borderId="0" xfId="21" applyNumberFormat="1" applyFont="1" applyFill="1" applyBorder="1" applyAlignment="1">
      <alignment horizontal="left"/>
    </xf>
    <xf numFmtId="1" fontId="1" fillId="0" borderId="0" xfId="21" applyNumberFormat="1" applyFont="1" applyFill="1" applyBorder="1" applyAlignment="1">
      <alignment horizontal="center"/>
    </xf>
    <xf numFmtId="1" fontId="0" fillId="0" borderId="0" xfId="0" applyNumberFormat="1" applyAlignment="1">
      <alignment/>
    </xf>
    <xf numFmtId="1" fontId="1" fillId="0" borderId="0" xfId="21" applyNumberFormat="1" applyFont="1" applyFill="1" applyBorder="1" applyAlignment="1">
      <alignment horizontal="left" wrapText="1"/>
    </xf>
    <xf numFmtId="1" fontId="3" fillId="0" borderId="0" xfId="21" applyNumberFormat="1" applyFont="1" applyFill="1" applyBorder="1" applyAlignment="1">
      <alignment horizontal="right" wrapText="1"/>
    </xf>
    <xf numFmtId="1" fontId="5" fillId="0" borderId="0" xfId="21" applyNumberFormat="1" applyFont="1" applyFill="1" applyBorder="1" applyAlignment="1">
      <alignment wrapText="1"/>
    </xf>
    <xf numFmtId="49" fontId="5" fillId="0" borderId="0" xfId="21" applyNumberFormat="1" applyFont="1" applyFill="1" applyBorder="1" applyAlignment="1">
      <alignment horizontal="right" wrapText="1"/>
    </xf>
    <xf numFmtId="49" fontId="1" fillId="0" borderId="0" xfId="21" applyNumberFormat="1" applyFont="1" applyFill="1" applyBorder="1" applyAlignment="1">
      <alignment horizontal="right"/>
    </xf>
    <xf numFmtId="1" fontId="6" fillId="0" borderId="0" xfId="21" applyNumberFormat="1" applyFont="1" applyFill="1" applyBorder="1" applyAlignment="1">
      <alignment horizontal="right"/>
    </xf>
    <xf numFmtId="1" fontId="6" fillId="0" borderId="0" xfId="21" applyNumberFormat="1" applyFont="1" applyFill="1" applyBorder="1" applyAlignment="1">
      <alignment horizontal="right" wrapText="1"/>
    </xf>
    <xf numFmtId="0" fontId="7" fillId="0" borderId="0" xfId="21" applyFont="1" applyBorder="1" applyAlignment="1">
      <alignment horizontal="right"/>
    </xf>
    <xf numFmtId="49" fontId="1" fillId="0" borderId="0" xfId="21" applyNumberFormat="1" applyFont="1" applyFill="1" applyBorder="1" applyAlignment="1">
      <alignment horizontal="right"/>
    </xf>
    <xf numFmtId="1" fontId="1" fillId="0" borderId="0" xfId="21" applyNumberFormat="1" applyFont="1" applyFill="1" applyBorder="1" applyAlignment="1">
      <alignment horizontal="right" wrapText="1"/>
    </xf>
    <xf numFmtId="0" fontId="0" fillId="0" borderId="0" xfId="0" applyBorder="1" applyAlignment="1">
      <alignment horizontal="right"/>
    </xf>
    <xf numFmtId="0" fontId="0" fillId="0" borderId="0" xfId="0" applyAlignment="1">
      <alignment horizontal="right"/>
    </xf>
    <xf numFmtId="1" fontId="5" fillId="0" borderId="0" xfId="21" applyNumberFormat="1" applyFont="1" applyFill="1" applyAlignment="1">
      <alignment/>
    </xf>
    <xf numFmtId="1" fontId="5" fillId="0" borderId="0" xfId="21" applyNumberFormat="1" applyFont="1" applyFill="1" applyBorder="1" applyAlignment="1">
      <alignment/>
    </xf>
    <xf numFmtId="1" fontId="5" fillId="0" borderId="0" xfId="21" applyNumberFormat="1" applyFont="1" applyFill="1" applyBorder="1" applyAlignment="1">
      <alignment/>
    </xf>
    <xf numFmtId="1" fontId="1" fillId="0" borderId="0" xfId="21" applyNumberFormat="1" applyFont="1" applyBorder="1" applyAlignment="1">
      <alignment horizontal="right"/>
    </xf>
    <xf numFmtId="0" fontId="8"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right"/>
    </xf>
    <xf numFmtId="169" fontId="4" fillId="0" borderId="0" xfId="0" applyNumberFormat="1" applyFont="1" applyAlignment="1">
      <alignment/>
    </xf>
    <xf numFmtId="170" fontId="4" fillId="0" borderId="0" xfId="0" applyNumberFormat="1" applyFont="1" applyAlignment="1">
      <alignment/>
    </xf>
    <xf numFmtId="169" fontId="4" fillId="0" borderId="0" xfId="0" applyNumberFormat="1" applyFont="1" applyAlignment="1">
      <alignment horizontal="right"/>
    </xf>
    <xf numFmtId="1" fontId="4" fillId="0" borderId="0" xfId="0" applyNumberFormat="1" applyFont="1" applyAlignment="1">
      <alignment/>
    </xf>
    <xf numFmtId="1" fontId="1" fillId="0" borderId="0" xfId="0" applyNumberFormat="1" applyFont="1" applyAlignment="1">
      <alignment/>
    </xf>
    <xf numFmtId="1" fontId="4" fillId="0" borderId="0" xfId="0" applyNumberFormat="1" applyFont="1" applyAlignment="1">
      <alignment/>
    </xf>
    <xf numFmtId="1" fontId="4" fillId="0" borderId="0" xfId="0" applyNumberFormat="1" applyFont="1" applyAlignment="1">
      <alignment horizontal="right"/>
    </xf>
    <xf numFmtId="0" fontId="4" fillId="0" borderId="1" xfId="0" applyFont="1" applyBorder="1" applyAlignment="1">
      <alignment/>
    </xf>
    <xf numFmtId="0" fontId="1" fillId="0" borderId="0" xfId="0" applyFont="1" applyAlignment="1">
      <alignment horizontal="right"/>
    </xf>
    <xf numFmtId="1" fontId="5" fillId="0" borderId="0" xfId="21" applyNumberFormat="1" applyFont="1" applyFill="1" applyBorder="1" applyAlignment="1">
      <alignment horizontal="center"/>
    </xf>
    <xf numFmtId="0" fontId="4" fillId="0" borderId="0" xfId="21" applyFont="1" applyBorder="1" applyAlignment="1">
      <alignment horizontal="center"/>
    </xf>
    <xf numFmtId="0" fontId="0" fillId="0" borderId="0" xfId="0" applyFont="1" applyBorder="1" applyAlignment="1">
      <alignment/>
    </xf>
    <xf numFmtId="0" fontId="0" fillId="0" borderId="0" xfId="0" applyFont="1" applyAlignment="1">
      <alignment/>
    </xf>
    <xf numFmtId="1" fontId="4" fillId="0" borderId="0" xfId="21" applyNumberFormat="1" applyFont="1" applyFill="1" applyBorder="1" applyAlignment="1">
      <alignment horizontal="center"/>
    </xf>
    <xf numFmtId="1" fontId="5" fillId="0" borderId="0" xfId="21" applyNumberFormat="1" applyFont="1" applyFill="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1" fontId="4" fillId="0" borderId="0" xfId="0" applyNumberFormat="1" applyFont="1" applyBorder="1" applyAlignment="1">
      <alignment horizontal="center"/>
    </xf>
    <xf numFmtId="1" fontId="5" fillId="0" borderId="0" xfId="21" applyNumberFormat="1" applyFont="1" applyFill="1" applyBorder="1" applyAlignment="1">
      <alignment horizontal="right"/>
    </xf>
    <xf numFmtId="1" fontId="5" fillId="0" borderId="0" xfId="21" applyNumberFormat="1" applyFont="1" applyFill="1" applyAlignment="1">
      <alignment horizontal="right"/>
    </xf>
    <xf numFmtId="0" fontId="0" fillId="0" borderId="0" xfId="0" applyFont="1" applyBorder="1" applyAlignment="1">
      <alignment horizontal="right"/>
    </xf>
    <xf numFmtId="0" fontId="0" fillId="0" borderId="0" xfId="0" applyFont="1" applyAlignment="1">
      <alignment horizontal="right"/>
    </xf>
    <xf numFmtId="1" fontId="4" fillId="0" borderId="0" xfId="0" applyNumberFormat="1" applyFont="1" applyAlignment="1">
      <alignment horizontal="center"/>
    </xf>
    <xf numFmtId="170" fontId="4" fillId="0" borderId="0" xfId="0" applyNumberFormat="1" applyFont="1" applyAlignment="1">
      <alignment horizontal="center"/>
    </xf>
    <xf numFmtId="0" fontId="4" fillId="0" borderId="0" xfId="0" applyFont="1" applyBorder="1" applyAlignment="1">
      <alignment horizontal="right"/>
    </xf>
    <xf numFmtId="1" fontId="4" fillId="0" borderId="0" xfId="0" applyNumberFormat="1" applyFont="1" applyBorder="1" applyAlignment="1">
      <alignment horizontal="right"/>
    </xf>
    <xf numFmtId="0" fontId="0" fillId="0" borderId="0" xfId="0" applyFont="1" applyAlignment="1">
      <alignment/>
    </xf>
    <xf numFmtId="1" fontId="0" fillId="0" borderId="0" xfId="0" applyNumberFormat="1" applyFont="1" applyAlignment="1">
      <alignment/>
    </xf>
    <xf numFmtId="1" fontId="0" fillId="0" borderId="0" xfId="0" applyNumberFormat="1" applyFont="1" applyAlignment="1">
      <alignment horizontal="center"/>
    </xf>
    <xf numFmtId="1" fontId="5" fillId="0" borderId="0" xfId="21" applyNumberFormat="1" applyFont="1" applyFill="1" applyBorder="1" applyAlignment="1">
      <alignment horizontal="left" wrapText="1"/>
    </xf>
    <xf numFmtId="1" fontId="4" fillId="0" borderId="0" xfId="21" applyNumberFormat="1" applyFont="1" applyFill="1" applyBorder="1" applyAlignment="1">
      <alignment horizontal="left"/>
    </xf>
    <xf numFmtId="49" fontId="4" fillId="0" borderId="0" xfId="21" applyNumberFormat="1" applyFont="1" applyFill="1" applyBorder="1" applyAlignment="1">
      <alignment horizontal="left"/>
    </xf>
    <xf numFmtId="1" fontId="4" fillId="0" borderId="0" xfId="21" applyNumberFormat="1" applyFont="1" applyFill="1" applyBorder="1" applyAlignment="1">
      <alignment horizontal="left" wrapText="1"/>
    </xf>
    <xf numFmtId="0" fontId="4" fillId="0" borderId="0" xfId="0" applyFont="1" applyAlignment="1">
      <alignment horizontal="left"/>
    </xf>
    <xf numFmtId="2" fontId="5" fillId="0" borderId="0" xfId="21" applyNumberFormat="1" applyFont="1" applyFill="1" applyBorder="1" applyAlignment="1">
      <alignment horizontal="right"/>
    </xf>
    <xf numFmtId="1" fontId="3" fillId="0" borderId="0" xfId="21" applyNumberFormat="1" applyFont="1" applyFill="1" applyAlignment="1">
      <alignment horizontal="right"/>
    </xf>
    <xf numFmtId="1" fontId="1" fillId="0" borderId="0" xfId="0" applyNumberFormat="1" applyFont="1" applyAlignment="1">
      <alignment horizontal="right" wrapText="1"/>
    </xf>
    <xf numFmtId="2" fontId="5" fillId="0" borderId="0" xfId="21" applyNumberFormat="1" applyFont="1" applyFill="1" applyBorder="1" applyAlignment="1">
      <alignment horizontal="right" wrapText="1"/>
    </xf>
    <xf numFmtId="2" fontId="5" fillId="0" borderId="0" xfId="21" applyNumberFormat="1" applyFont="1" applyFill="1" applyAlignment="1">
      <alignment horizontal="right"/>
    </xf>
    <xf numFmtId="0" fontId="4" fillId="0" borderId="0" xfId="0" applyFont="1" applyBorder="1" applyAlignment="1">
      <alignment/>
    </xf>
    <xf numFmtId="0" fontId="4" fillId="0" borderId="0" xfId="0" applyFont="1" applyFill="1" applyBorder="1" applyAlignment="1">
      <alignment/>
    </xf>
    <xf numFmtId="0" fontId="4" fillId="0" borderId="2" xfId="0" applyFont="1" applyFill="1" applyBorder="1" applyAlignment="1">
      <alignment/>
    </xf>
    <xf numFmtId="1" fontId="4" fillId="0" borderId="0" xfId="0" applyNumberFormat="1" applyFont="1" applyBorder="1" applyAlignment="1">
      <alignment/>
    </xf>
    <xf numFmtId="1" fontId="4" fillId="0" borderId="2" xfId="0" applyNumberFormat="1" applyFont="1" applyBorder="1" applyAlignment="1">
      <alignment/>
    </xf>
    <xf numFmtId="170" fontId="4" fillId="0" borderId="0" xfId="0" applyNumberFormat="1" applyFont="1" applyBorder="1" applyAlignment="1">
      <alignment/>
    </xf>
    <xf numFmtId="170" fontId="4" fillId="0" borderId="2" xfId="0" applyNumberFormat="1" applyFont="1" applyBorder="1" applyAlignment="1">
      <alignment/>
    </xf>
    <xf numFmtId="169" fontId="4" fillId="0" borderId="0" xfId="0" applyNumberFormat="1" applyFont="1" applyBorder="1" applyAlignment="1">
      <alignment/>
    </xf>
    <xf numFmtId="169" fontId="4" fillId="0" borderId="2" xfId="0" applyNumberFormat="1" applyFont="1" applyBorder="1" applyAlignment="1">
      <alignment/>
    </xf>
    <xf numFmtId="0" fontId="4" fillId="0" borderId="3" xfId="0" applyFont="1" applyBorder="1" applyAlignment="1">
      <alignment/>
    </xf>
    <xf numFmtId="0" fontId="9" fillId="0" borderId="4" xfId="20" applyBorder="1" applyAlignment="1">
      <alignment wrapText="1"/>
    </xf>
    <xf numFmtId="0" fontId="0" fillId="0" borderId="4" xfId="0" applyBorder="1" applyAlignment="1">
      <alignment/>
    </xf>
    <xf numFmtId="0" fontId="0" fillId="0" borderId="5" xfId="0" applyBorder="1" applyAlignment="1">
      <alignment/>
    </xf>
    <xf numFmtId="1" fontId="5" fillId="0" borderId="0" xfId="21" applyNumberFormat="1" applyFont="1" applyFill="1" applyBorder="1" applyAlignment="1">
      <alignment/>
    </xf>
    <xf numFmtId="0" fontId="4" fillId="0" borderId="0" xfId="0" applyFont="1" applyBorder="1" applyAlignment="1">
      <alignment horizontal="center"/>
    </xf>
    <xf numFmtId="1" fontId="4" fillId="0" borderId="0" xfId="0" applyNumberFormat="1" applyFont="1" applyBorder="1" applyAlignment="1">
      <alignment horizontal="center"/>
    </xf>
    <xf numFmtId="1" fontId="5" fillId="0" borderId="0" xfId="21" applyNumberFormat="1" applyFont="1" applyFill="1" applyBorder="1" applyAlignment="1">
      <alignment horizontal="right"/>
    </xf>
    <xf numFmtId="1" fontId="3" fillId="0" borderId="0" xfId="21" applyNumberFormat="1" applyFont="1" applyFill="1" applyBorder="1" applyAlignment="1">
      <alignment/>
    </xf>
    <xf numFmtId="170" fontId="5" fillId="0" borderId="0" xfId="21" applyNumberFormat="1" applyFont="1" applyFill="1" applyBorder="1" applyAlignment="1">
      <alignment horizontal="center"/>
    </xf>
    <xf numFmtId="1" fontId="5" fillId="0" borderId="0" xfId="21" applyNumberFormat="1" applyFont="1" applyFill="1" applyBorder="1" applyAlignment="1">
      <alignment horizontal="center"/>
    </xf>
    <xf numFmtId="0" fontId="1" fillId="0" borderId="0" xfId="0" applyFont="1" applyBorder="1" applyAlignment="1">
      <alignment horizontal="right"/>
    </xf>
    <xf numFmtId="1" fontId="1" fillId="0" borderId="0" xfId="0" applyNumberFormat="1" applyFont="1" applyBorder="1" applyAlignment="1">
      <alignment horizontal="right"/>
    </xf>
    <xf numFmtId="0" fontId="0" fillId="0" borderId="6" xfId="0" applyBorder="1" applyAlignment="1">
      <alignment/>
    </xf>
    <xf numFmtId="170" fontId="4" fillId="0" borderId="0" xfId="21" applyNumberFormat="1" applyFont="1" applyFill="1" applyBorder="1" applyAlignment="1">
      <alignment horizontal="right" wrapText="1"/>
    </xf>
    <xf numFmtId="1" fontId="11" fillId="0" borderId="0" xfId="21" applyNumberFormat="1" applyFont="1" applyFill="1" applyBorder="1" applyAlignment="1">
      <alignment wrapText="1"/>
    </xf>
    <xf numFmtId="170" fontId="11" fillId="0" borderId="0" xfId="21" applyNumberFormat="1" applyFont="1" applyFill="1" applyBorder="1" applyAlignment="1">
      <alignment horizontal="right" wrapText="1"/>
    </xf>
    <xf numFmtId="170" fontId="11" fillId="0" borderId="0" xfId="21" applyNumberFormat="1" applyFont="1" applyFill="1" applyBorder="1" applyAlignment="1">
      <alignment horizontal="right"/>
    </xf>
    <xf numFmtId="170" fontId="11" fillId="0" borderId="0" xfId="0" applyNumberFormat="1" applyFont="1" applyBorder="1" applyAlignment="1">
      <alignment/>
    </xf>
    <xf numFmtId="170" fontId="11" fillId="0" borderId="2" xfId="0" applyNumberFormat="1" applyFont="1" applyBorder="1" applyAlignment="1">
      <alignment/>
    </xf>
    <xf numFmtId="170" fontId="4" fillId="0" borderId="0" xfId="0" applyNumberFormat="1" applyFont="1" applyBorder="1" applyAlignment="1">
      <alignment/>
    </xf>
    <xf numFmtId="170" fontId="4" fillId="0" borderId="2" xfId="0" applyNumberFormat="1" applyFont="1" applyBorder="1" applyAlignment="1">
      <alignment/>
    </xf>
    <xf numFmtId="170" fontId="4" fillId="0" borderId="0" xfId="21" applyNumberFormat="1" applyFont="1" applyFill="1" applyBorder="1" applyAlignment="1">
      <alignment horizontal="right"/>
    </xf>
    <xf numFmtId="0" fontId="0" fillId="0" borderId="0" xfId="0" applyAlignment="1">
      <alignment wrapText="1"/>
    </xf>
    <xf numFmtId="1" fontId="3" fillId="0" borderId="7" xfId="21" applyNumberFormat="1" applyFont="1" applyFill="1" applyBorder="1" applyAlignment="1">
      <alignment horizontal="left" wrapText="1"/>
    </xf>
    <xf numFmtId="1" fontId="5" fillId="0" borderId="8" xfId="21" applyNumberFormat="1" applyFont="1" applyFill="1" applyBorder="1" applyAlignment="1">
      <alignment horizontal="right" wrapText="1"/>
    </xf>
    <xf numFmtId="1" fontId="5" fillId="0" borderId="8" xfId="21" applyNumberFormat="1" applyFont="1" applyFill="1" applyBorder="1" applyAlignment="1">
      <alignment horizontal="right"/>
    </xf>
    <xf numFmtId="1" fontId="5" fillId="0" borderId="9" xfId="21" applyNumberFormat="1" applyFont="1" applyFill="1" applyBorder="1" applyAlignment="1">
      <alignment horizontal="right"/>
    </xf>
    <xf numFmtId="1" fontId="5" fillId="0" borderId="1" xfId="21" applyNumberFormat="1" applyFont="1" applyFill="1" applyBorder="1" applyAlignment="1">
      <alignment horizontal="left" wrapText="1"/>
    </xf>
    <xf numFmtId="0" fontId="0" fillId="0" borderId="0" xfId="0" applyBorder="1" applyAlignment="1">
      <alignment wrapText="1"/>
    </xf>
    <xf numFmtId="0" fontId="0" fillId="0" borderId="2" xfId="0" applyBorder="1" applyAlignment="1">
      <alignment wrapText="1"/>
    </xf>
    <xf numFmtId="177" fontId="4" fillId="0" borderId="0" xfId="0" applyNumberFormat="1" applyFont="1" applyAlignment="1">
      <alignment/>
    </xf>
    <xf numFmtId="49" fontId="4" fillId="0" borderId="1" xfId="21" applyNumberFormat="1" applyFont="1" applyFill="1" applyBorder="1" applyAlignment="1">
      <alignment horizontal="left"/>
    </xf>
    <xf numFmtId="1" fontId="1" fillId="0" borderId="2" xfId="21" applyNumberFormat="1" applyFont="1" applyFill="1" applyBorder="1" applyAlignment="1">
      <alignment horizontal="right"/>
    </xf>
    <xf numFmtId="1" fontId="5" fillId="0" borderId="1" xfId="21" applyNumberFormat="1" applyFont="1" applyFill="1" applyBorder="1" applyAlignment="1">
      <alignment horizontal="left"/>
    </xf>
    <xf numFmtId="170" fontId="11" fillId="0" borderId="2" xfId="21" applyNumberFormat="1" applyFont="1" applyFill="1" applyBorder="1" applyAlignment="1">
      <alignment horizontal="right"/>
    </xf>
    <xf numFmtId="170" fontId="11" fillId="0" borderId="2" xfId="21" applyNumberFormat="1" applyFont="1" applyFill="1" applyBorder="1" applyAlignment="1">
      <alignment horizontal="right" wrapText="1"/>
    </xf>
    <xf numFmtId="1" fontId="5" fillId="0" borderId="3" xfId="21" applyNumberFormat="1" applyFont="1" applyFill="1" applyBorder="1" applyAlignment="1">
      <alignment horizontal="left" wrapText="1"/>
    </xf>
    <xf numFmtId="170" fontId="11" fillId="0" borderId="5" xfId="21" applyNumberFormat="1" applyFont="1" applyFill="1" applyBorder="1" applyAlignment="1">
      <alignment horizontal="right" wrapText="1"/>
    </xf>
    <xf numFmtId="1" fontId="1" fillId="0" borderId="7" xfId="21" applyNumberFormat="1" applyFont="1" applyFill="1" applyBorder="1" applyAlignment="1">
      <alignment horizontal="left"/>
    </xf>
    <xf numFmtId="1" fontId="4" fillId="0" borderId="8" xfId="21" applyNumberFormat="1" applyFont="1" applyFill="1" applyBorder="1" applyAlignment="1">
      <alignment/>
    </xf>
    <xf numFmtId="1" fontId="4" fillId="0" borderId="8" xfId="21" applyNumberFormat="1" applyFont="1" applyFill="1" applyBorder="1" applyAlignment="1">
      <alignment horizontal="right"/>
    </xf>
    <xf numFmtId="1" fontId="4" fillId="0" borderId="8" xfId="21" applyNumberFormat="1" applyFont="1" applyFill="1" applyBorder="1" applyAlignment="1">
      <alignment horizontal="center"/>
    </xf>
    <xf numFmtId="1" fontId="4" fillId="0" borderId="9" xfId="21" applyNumberFormat="1" applyFont="1" applyFill="1" applyBorder="1" applyAlignment="1">
      <alignment horizontal="center"/>
    </xf>
    <xf numFmtId="1" fontId="5" fillId="0" borderId="2" xfId="21" applyNumberFormat="1" applyFont="1" applyFill="1" applyBorder="1" applyAlignment="1">
      <alignment horizontal="right"/>
    </xf>
    <xf numFmtId="1" fontId="3" fillId="0" borderId="1" xfId="21" applyNumberFormat="1" applyFont="1" applyFill="1" applyBorder="1" applyAlignment="1">
      <alignment horizontal="left" wrapText="1"/>
    </xf>
    <xf numFmtId="1" fontId="1" fillId="0" borderId="0" xfId="0" applyNumberFormat="1" applyFont="1" applyBorder="1" applyAlignment="1">
      <alignment horizontal="right" wrapText="1"/>
    </xf>
    <xf numFmtId="1" fontId="3" fillId="0" borderId="2" xfId="21" applyNumberFormat="1" applyFont="1" applyFill="1" applyBorder="1" applyAlignment="1">
      <alignment horizontal="right"/>
    </xf>
    <xf numFmtId="1" fontId="3" fillId="0" borderId="3" xfId="21" applyNumberFormat="1" applyFont="1" applyFill="1" applyBorder="1" applyAlignment="1">
      <alignment horizontal="left" wrapText="1"/>
    </xf>
    <xf numFmtId="1" fontId="1" fillId="0" borderId="4" xfId="0" applyNumberFormat="1" applyFont="1" applyBorder="1" applyAlignment="1">
      <alignment horizontal="right" wrapText="1"/>
    </xf>
    <xf numFmtId="170" fontId="1" fillId="0" borderId="4" xfId="0" applyNumberFormat="1" applyFont="1" applyBorder="1" applyAlignment="1">
      <alignment horizontal="right" wrapText="1"/>
    </xf>
    <xf numFmtId="170" fontId="1" fillId="0" borderId="5" xfId="0" applyNumberFormat="1" applyFont="1" applyBorder="1" applyAlignment="1">
      <alignment horizontal="right" wrapText="1"/>
    </xf>
    <xf numFmtId="2" fontId="4" fillId="0" borderId="4" xfId="21" applyNumberFormat="1" applyFont="1" applyFill="1" applyBorder="1" applyAlignment="1">
      <alignment horizontal="right" wrapText="1"/>
    </xf>
    <xf numFmtId="2" fontId="11" fillId="0" borderId="4" xfId="21" applyNumberFormat="1" applyFont="1" applyFill="1" applyBorder="1" applyAlignment="1">
      <alignment horizontal="right" wrapText="1"/>
    </xf>
    <xf numFmtId="2" fontId="11" fillId="0" borderId="4" xfId="21" applyNumberFormat="1" applyFont="1" applyFill="1" applyBorder="1" applyAlignment="1">
      <alignment horizontal="right"/>
    </xf>
    <xf numFmtId="2" fontId="11" fillId="0" borderId="5" xfId="21" applyNumberFormat="1" applyFont="1" applyFill="1" applyBorder="1" applyAlignment="1">
      <alignment horizontal="right"/>
    </xf>
    <xf numFmtId="1" fontId="5" fillId="0" borderId="9" xfId="21" applyNumberFormat="1" applyFont="1" applyFill="1" applyBorder="1" applyAlignment="1">
      <alignment horizontal="right" wrapText="1"/>
    </xf>
    <xf numFmtId="0" fontId="0" fillId="0" borderId="1" xfId="0" applyBorder="1" applyAlignment="1">
      <alignment/>
    </xf>
    <xf numFmtId="0" fontId="4" fillId="0" borderId="0" xfId="0" applyFont="1" applyBorder="1" applyAlignment="1">
      <alignment wrapText="1"/>
    </xf>
    <xf numFmtId="1" fontId="5" fillId="0" borderId="2" xfId="21" applyNumberFormat="1" applyFont="1" applyFill="1" applyBorder="1" applyAlignment="1">
      <alignment wrapText="1"/>
    </xf>
    <xf numFmtId="49" fontId="5" fillId="0" borderId="1" xfId="21" applyNumberFormat="1" applyFont="1" applyFill="1" applyBorder="1" applyAlignment="1">
      <alignment horizontal="left" wrapText="1"/>
    </xf>
    <xf numFmtId="49" fontId="5" fillId="0" borderId="2" xfId="21" applyNumberFormat="1" applyFont="1" applyFill="1" applyBorder="1" applyAlignment="1">
      <alignment horizontal="right" wrapText="1"/>
    </xf>
    <xf numFmtId="1" fontId="4" fillId="0" borderId="1" xfId="21" applyNumberFormat="1" applyFont="1" applyFill="1" applyBorder="1" applyAlignment="1">
      <alignment horizontal="left"/>
    </xf>
    <xf numFmtId="0" fontId="4" fillId="0" borderId="0" xfId="0" applyFont="1" applyBorder="1" applyAlignment="1">
      <alignment wrapText="1"/>
    </xf>
    <xf numFmtId="1" fontId="4" fillId="0" borderId="2" xfId="21" applyNumberFormat="1" applyFont="1" applyFill="1" applyBorder="1" applyAlignment="1">
      <alignment horizontal="right"/>
    </xf>
    <xf numFmtId="1" fontId="5" fillId="0" borderId="4" xfId="21" applyNumberFormat="1" applyFont="1" applyFill="1" applyBorder="1" applyAlignment="1">
      <alignment horizontal="right" wrapText="1"/>
    </xf>
    <xf numFmtId="1" fontId="5" fillId="0" borderId="5" xfId="21" applyNumberFormat="1" applyFont="1" applyFill="1" applyBorder="1" applyAlignment="1">
      <alignment horizontal="right" wrapText="1"/>
    </xf>
    <xf numFmtId="1" fontId="4" fillId="0" borderId="2" xfId="21" applyNumberFormat="1" applyFont="1" applyFill="1" applyBorder="1" applyAlignment="1">
      <alignment horizontal="center"/>
    </xf>
    <xf numFmtId="1" fontId="1" fillId="0" borderId="7" xfId="21" applyNumberFormat="1" applyFont="1" applyFill="1" applyBorder="1" applyAlignment="1">
      <alignment horizontal="left" wrapText="1"/>
    </xf>
    <xf numFmtId="1" fontId="4" fillId="0" borderId="8" xfId="21" applyNumberFormat="1" applyFont="1" applyFill="1" applyBorder="1" applyAlignment="1">
      <alignment horizontal="right" wrapText="1"/>
    </xf>
    <xf numFmtId="1" fontId="4" fillId="0" borderId="9" xfId="21" applyNumberFormat="1" applyFont="1" applyFill="1" applyBorder="1" applyAlignment="1">
      <alignment horizontal="right" wrapText="1"/>
    </xf>
    <xf numFmtId="1" fontId="4" fillId="0" borderId="1" xfId="21" applyNumberFormat="1" applyFont="1" applyFill="1" applyBorder="1" applyAlignment="1">
      <alignment horizontal="left" wrapText="1"/>
    </xf>
    <xf numFmtId="1" fontId="4" fillId="0" borderId="2" xfId="21" applyNumberFormat="1" applyFont="1" applyFill="1" applyBorder="1" applyAlignment="1">
      <alignment horizontal="right" wrapText="1"/>
    </xf>
    <xf numFmtId="170" fontId="4" fillId="0" borderId="2" xfId="21" applyNumberFormat="1" applyFont="1" applyFill="1" applyBorder="1" applyAlignment="1">
      <alignment horizontal="right" wrapText="1"/>
    </xf>
    <xf numFmtId="1" fontId="4" fillId="0" borderId="3" xfId="21" applyNumberFormat="1" applyFont="1" applyFill="1" applyBorder="1" applyAlignment="1">
      <alignment horizontal="left" wrapText="1"/>
    </xf>
    <xf numFmtId="1" fontId="4" fillId="0" borderId="4" xfId="21" applyNumberFormat="1" applyFont="1" applyFill="1" applyBorder="1" applyAlignment="1">
      <alignment horizontal="right" wrapText="1"/>
    </xf>
    <xf numFmtId="0" fontId="1" fillId="0" borderId="1" xfId="0" applyFont="1" applyBorder="1" applyAlignment="1">
      <alignment horizontal="right"/>
    </xf>
    <xf numFmtId="0" fontId="1" fillId="0" borderId="2" xfId="0" applyFont="1" applyBorder="1" applyAlignment="1">
      <alignment horizontal="right"/>
    </xf>
    <xf numFmtId="0" fontId="4" fillId="0" borderId="2" xfId="0" applyFont="1" applyBorder="1" applyAlignment="1">
      <alignment/>
    </xf>
    <xf numFmtId="0" fontId="9" fillId="0" borderId="0" xfId="20" applyBorder="1" applyAlignment="1">
      <alignment/>
    </xf>
    <xf numFmtId="0" fontId="0" fillId="0" borderId="0" xfId="0" applyBorder="1" applyAlignment="1">
      <alignment/>
    </xf>
    <xf numFmtId="0" fontId="0" fillId="0" borderId="3" xfId="0" applyBorder="1" applyAlignment="1">
      <alignment/>
    </xf>
    <xf numFmtId="0" fontId="9" fillId="0" borderId="4" xfId="20" applyBorder="1" applyAlignment="1">
      <alignment/>
    </xf>
    <xf numFmtId="0" fontId="1" fillId="0" borderId="7" xfId="0" applyFont="1" applyBorder="1" applyAlignment="1">
      <alignment/>
    </xf>
    <xf numFmtId="0" fontId="0" fillId="0" borderId="8" xfId="0" applyBorder="1" applyAlignment="1">
      <alignment/>
    </xf>
    <xf numFmtId="170" fontId="0" fillId="0" borderId="8" xfId="0" applyNumberFormat="1" applyBorder="1" applyAlignment="1">
      <alignment/>
    </xf>
    <xf numFmtId="170" fontId="0" fillId="0" borderId="9" xfId="0" applyNumberFormat="1" applyBorder="1" applyAlignment="1">
      <alignment/>
    </xf>
    <xf numFmtId="1" fontId="1" fillId="0" borderId="0" xfId="0" applyNumberFormat="1" applyFont="1" applyBorder="1" applyAlignment="1">
      <alignment/>
    </xf>
    <xf numFmtId="1" fontId="1" fillId="0" borderId="2" xfId="0" applyNumberFormat="1" applyFont="1" applyBorder="1" applyAlignment="1">
      <alignment/>
    </xf>
    <xf numFmtId="1" fontId="1" fillId="0" borderId="9" xfId="21" applyNumberFormat="1" applyFont="1" applyFill="1" applyBorder="1" applyAlignment="1">
      <alignment horizontal="right"/>
    </xf>
    <xf numFmtId="1" fontId="11" fillId="0" borderId="0" xfId="21" applyNumberFormat="1" applyFont="1" applyFill="1" applyBorder="1" applyAlignment="1">
      <alignment horizontal="right"/>
    </xf>
    <xf numFmtId="1" fontId="11" fillId="0" borderId="2" xfId="21" applyNumberFormat="1" applyFont="1" applyFill="1" applyBorder="1" applyAlignment="1">
      <alignment horizontal="right"/>
    </xf>
    <xf numFmtId="1" fontId="1" fillId="0" borderId="0" xfId="21" applyNumberFormat="1" applyFont="1" applyFill="1" applyBorder="1" applyAlignment="1">
      <alignment wrapText="1"/>
    </xf>
    <xf numFmtId="1" fontId="11" fillId="0" borderId="2" xfId="21" applyNumberFormat="1" applyFont="1" applyFill="1" applyBorder="1" applyAlignment="1">
      <alignment wrapText="1"/>
    </xf>
    <xf numFmtId="0" fontId="0" fillId="0" borderId="2" xfId="0" applyFont="1" applyBorder="1" applyAlignment="1">
      <alignment wrapText="1"/>
    </xf>
    <xf numFmtId="0" fontId="0" fillId="0" borderId="0" xfId="0" applyFont="1" applyBorder="1" applyAlignment="1">
      <alignment wrapText="1"/>
    </xf>
    <xf numFmtId="0" fontId="0" fillId="0" borderId="9" xfId="0" applyBorder="1" applyAlignment="1">
      <alignment/>
    </xf>
    <xf numFmtId="1" fontId="4" fillId="0" borderId="5" xfId="21" applyNumberFormat="1" applyFont="1" applyFill="1" applyBorder="1" applyAlignment="1">
      <alignment horizontal="right" wrapText="1"/>
    </xf>
    <xf numFmtId="1" fontId="1" fillId="0" borderId="8" xfId="21" applyNumberFormat="1" applyFont="1" applyFill="1" applyBorder="1" applyAlignment="1">
      <alignment horizontal="right"/>
    </xf>
    <xf numFmtId="170" fontId="4" fillId="0" borderId="5" xfId="21" applyNumberFormat="1" applyFont="1" applyFill="1" applyBorder="1" applyAlignment="1">
      <alignment horizontal="right" wrapText="1"/>
    </xf>
    <xf numFmtId="1" fontId="11" fillId="0" borderId="4" xfId="21" applyNumberFormat="1" applyFont="1" applyFill="1" applyBorder="1" applyAlignment="1">
      <alignment horizontal="right" wrapText="1"/>
    </xf>
    <xf numFmtId="1" fontId="11" fillId="0" borderId="5" xfId="21" applyNumberFormat="1" applyFont="1" applyFill="1" applyBorder="1" applyAlignment="1">
      <alignment horizontal="right" wrapText="1"/>
    </xf>
    <xf numFmtId="170" fontId="11" fillId="0" borderId="9" xfId="21" applyNumberFormat="1" applyFont="1" applyFill="1" applyBorder="1" applyAlignment="1">
      <alignment horizontal="right" wrapText="1"/>
    </xf>
    <xf numFmtId="0" fontId="1" fillId="0" borderId="0" xfId="0" applyFont="1" applyBorder="1" applyAlignment="1">
      <alignment horizontal="left"/>
    </xf>
    <xf numFmtId="1" fontId="1" fillId="0" borderId="8" xfId="0" applyNumberFormat="1" applyFont="1" applyBorder="1" applyAlignment="1">
      <alignment horizontal="right" wrapText="1"/>
    </xf>
    <xf numFmtId="1" fontId="1" fillId="0" borderId="9" xfId="0" applyNumberFormat="1" applyFont="1" applyBorder="1" applyAlignment="1">
      <alignment horizontal="right" wrapText="1"/>
    </xf>
    <xf numFmtId="0" fontId="4" fillId="0" borderId="1" xfId="0" applyFont="1" applyBorder="1" applyAlignment="1">
      <alignment horizontal="left"/>
    </xf>
    <xf numFmtId="0" fontId="11" fillId="0" borderId="0" xfId="0" applyFont="1" applyBorder="1" applyAlignment="1">
      <alignment/>
    </xf>
    <xf numFmtId="0" fontId="4" fillId="0" borderId="3" xfId="0" applyFont="1" applyBorder="1" applyAlignment="1">
      <alignment horizontal="left"/>
    </xf>
    <xf numFmtId="169" fontId="4" fillId="0" borderId="4" xfId="0" applyNumberFormat="1" applyFont="1" applyBorder="1" applyAlignment="1">
      <alignment/>
    </xf>
    <xf numFmtId="169" fontId="4" fillId="0" borderId="4" xfId="0" applyNumberFormat="1" applyFont="1" applyBorder="1" applyAlignment="1">
      <alignment horizontal="right"/>
    </xf>
    <xf numFmtId="169" fontId="4" fillId="0" borderId="5" xfId="0" applyNumberFormat="1" applyFont="1" applyBorder="1" applyAlignment="1">
      <alignment horizontal="right"/>
    </xf>
    <xf numFmtId="1" fontId="11" fillId="0" borderId="0" xfId="21" applyNumberFormat="1" applyFont="1" applyFill="1" applyBorder="1" applyAlignment="1">
      <alignment horizontal="right" wrapText="1"/>
    </xf>
    <xf numFmtId="1" fontId="11" fillId="0" borderId="2" xfId="21" applyNumberFormat="1" applyFont="1" applyFill="1" applyBorder="1" applyAlignment="1">
      <alignment horizontal="right" wrapText="1"/>
    </xf>
    <xf numFmtId="0" fontId="11" fillId="0" borderId="2" xfId="0" applyFont="1" applyBorder="1" applyAlignment="1">
      <alignment/>
    </xf>
    <xf numFmtId="1" fontId="5" fillId="0" borderId="1" xfId="21" applyNumberFormat="1" applyFont="1" applyFill="1" applyBorder="1" applyAlignment="1">
      <alignment horizontal="left" wrapText="1"/>
    </xf>
    <xf numFmtId="0" fontId="0" fillId="0" borderId="0" xfId="0" applyBorder="1" applyAlignment="1">
      <alignment wrapText="1"/>
    </xf>
    <xf numFmtId="0" fontId="0" fillId="0" borderId="2" xfId="0" applyBorder="1" applyAlignment="1">
      <alignment wrapText="1"/>
    </xf>
    <xf numFmtId="0" fontId="0" fillId="0" borderId="0" xfId="0" applyAlignment="1">
      <alignment wrapText="1"/>
    </xf>
    <xf numFmtId="1" fontId="4" fillId="0" borderId="1" xfId="21" applyNumberFormat="1" applyFont="1" applyFill="1" applyBorder="1" applyAlignment="1">
      <alignment horizontal="left" wrapText="1"/>
    </xf>
    <xf numFmtId="0" fontId="0" fillId="0" borderId="0" xfId="0" applyAlignment="1">
      <alignment/>
    </xf>
    <xf numFmtId="0" fontId="0" fillId="0" borderId="2" xfId="0" applyBorder="1" applyAlignment="1">
      <alignment/>
    </xf>
    <xf numFmtId="0" fontId="0" fillId="0" borderId="0" xfId="0" applyFont="1" applyBorder="1" applyAlignment="1">
      <alignment wrapText="1"/>
    </xf>
    <xf numFmtId="0" fontId="0" fillId="0" borderId="2" xfId="0" applyFont="1" applyBorder="1" applyAlignment="1">
      <alignment wrapText="1"/>
    </xf>
    <xf numFmtId="0" fontId="9" fillId="0" borderId="0" xfId="2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1" fontId="5" fillId="0" borderId="0" xfId="21" applyNumberFormat="1" applyFont="1" applyFill="1" applyBorder="1" applyAlignment="1">
      <alignment horizontal="right" wrapText="1"/>
    </xf>
    <xf numFmtId="0" fontId="0" fillId="0" borderId="0" xfId="0" applyAlignment="1">
      <alignment horizontal="right" wrapText="1"/>
    </xf>
    <xf numFmtId="1" fontId="4" fillId="0" borderId="0" xfId="21" applyNumberFormat="1" applyFont="1" applyFill="1" applyBorder="1" applyAlignment="1">
      <alignment horizontal="center"/>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MASTER_02_03_Resources_vol_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m-treasury.gov.uk/spending_review/spend_sr04/associated_documents/spending_sr04_science.cfm" TargetMode="External" /><Relationship Id="rId2" Type="http://schemas.openxmlformats.org/officeDocument/2006/relationships/hyperlink" Target="http://www.ost.gov.uk/research/funding/budget03-06/dti-sciencebudgetbook.pdf" TargetMode="External" /><Relationship Id="rId3" Type="http://schemas.openxmlformats.org/officeDocument/2006/relationships/hyperlink" Target="http://www.hefce.ac.uk/news/HEFCE/2003/GrantAnn.asp" TargetMode="External" /><Relationship Id="rId4" Type="http://schemas.openxmlformats.org/officeDocument/2006/relationships/hyperlink" Target="http://www.hefce.ac.uk/news/HEFCE/2003/GrantAnn.asp" TargetMode="External" /><Relationship Id="rId5" Type="http://schemas.openxmlformats.org/officeDocument/2006/relationships/hyperlink" Target="http://www.hefce.ac.uk/news/HEFCE/2004/grantann/" TargetMode="External" /><Relationship Id="rId6" Type="http://schemas.openxmlformats.org/officeDocument/2006/relationships/hyperlink" Target="http://www.hefce.ac.uk/pubs/hefce/2005/05_13/"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P91"/>
  <sheetViews>
    <sheetView workbookViewId="0" topLeftCell="A73">
      <selection activeCell="H83" sqref="H83"/>
    </sheetView>
  </sheetViews>
  <sheetFormatPr defaultColWidth="9.140625" defaultRowHeight="12.75"/>
  <cols>
    <col min="1" max="1" width="40.7109375" style="84" customWidth="1"/>
    <col min="2" max="4" width="10.7109375" style="0" customWidth="1"/>
    <col min="5" max="5" width="10.7109375" style="41" customWidth="1"/>
    <col min="6" max="6" width="10.7109375" style="0" customWidth="1"/>
    <col min="7" max="7" width="11.140625" style="0" customWidth="1"/>
    <col min="8" max="8" width="10.7109375" style="66" customWidth="1"/>
    <col min="9" max="9" width="11.8515625" style="66" customWidth="1"/>
    <col min="10" max="10" width="9.57421875" style="66" bestFit="1" customWidth="1"/>
    <col min="11" max="11" width="8.00390625" style="72" bestFit="1" customWidth="1"/>
    <col min="12" max="12" width="10.140625" style="63" bestFit="1" customWidth="1"/>
  </cols>
  <sheetData>
    <row r="1" spans="1:42" s="3" customFormat="1" ht="11.25">
      <c r="A1" s="138" t="s">
        <v>120</v>
      </c>
      <c r="B1" s="139"/>
      <c r="C1" s="139"/>
      <c r="D1" s="139"/>
      <c r="E1" s="140"/>
      <c r="F1" s="139"/>
      <c r="G1" s="139"/>
      <c r="H1" s="141"/>
      <c r="I1" s="141"/>
      <c r="J1" s="142"/>
      <c r="K1" s="15"/>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s="3" customFormat="1" ht="29.25" customHeight="1">
      <c r="A2" s="218" t="s">
        <v>137</v>
      </c>
      <c r="B2" s="219"/>
      <c r="C2" s="219"/>
      <c r="D2" s="219"/>
      <c r="E2" s="219"/>
      <c r="F2" s="219"/>
      <c r="G2" s="219"/>
      <c r="H2" s="219"/>
      <c r="I2" s="219"/>
      <c r="J2" s="220"/>
      <c r="K2" s="15"/>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s="3" customFormat="1" ht="11.25">
      <c r="A3" s="161"/>
      <c r="E3" s="15"/>
      <c r="H3" s="64"/>
      <c r="I3" s="64"/>
      <c r="J3" s="166"/>
      <c r="K3" s="15"/>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s="11" customFormat="1" ht="11.25" customHeight="1">
      <c r="A4" s="131"/>
      <c r="B4" s="34" t="s">
        <v>38</v>
      </c>
      <c r="C4" s="34" t="s">
        <v>79</v>
      </c>
      <c r="D4" s="34" t="s">
        <v>80</v>
      </c>
      <c r="E4" s="34" t="s">
        <v>81</v>
      </c>
      <c r="F4" s="34" t="s">
        <v>82</v>
      </c>
      <c r="G4" s="11" t="s">
        <v>83</v>
      </c>
      <c r="H4" s="11" t="s">
        <v>84</v>
      </c>
      <c r="I4" s="11" t="s">
        <v>85</v>
      </c>
      <c r="J4" s="132" t="s">
        <v>117</v>
      </c>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row>
    <row r="5" spans="1:42" s="5" customFormat="1" ht="11.25" customHeight="1">
      <c r="A5" s="133" t="s">
        <v>86</v>
      </c>
      <c r="B5" s="69">
        <f>'03-04 by sector and science'!F58/1000</f>
        <v>2265.702</v>
      </c>
      <c r="C5" s="69">
        <f aca="true" t="shared" si="0" ref="C5:I6">(B20/100+1)*B5</f>
        <v>2340.6508275230876</v>
      </c>
      <c r="D5" s="69">
        <f t="shared" si="0"/>
        <v>2555.308407126996</v>
      </c>
      <c r="E5" s="69">
        <f t="shared" si="0"/>
        <v>2651.286575579292</v>
      </c>
      <c r="F5" s="69">
        <f t="shared" si="0"/>
        <v>2772.7288782826768</v>
      </c>
      <c r="G5" s="69">
        <f t="shared" si="0"/>
        <v>2900.27440668368</v>
      </c>
      <c r="H5" s="69">
        <f t="shared" si="0"/>
        <v>3033.6870293911293</v>
      </c>
      <c r="I5" s="69">
        <f t="shared" si="0"/>
        <v>3173.2366327431214</v>
      </c>
      <c r="J5" s="143">
        <f aca="true" t="shared" si="1" ref="J5:J13">I5-B5</f>
        <v>907.5346327431212</v>
      </c>
      <c r="K5" s="69"/>
      <c r="L5" s="44"/>
      <c r="M5" s="7"/>
      <c r="N5" s="7"/>
      <c r="O5" s="4"/>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s="5" customFormat="1" ht="11.25" customHeight="1">
      <c r="A6" s="127" t="s">
        <v>87</v>
      </c>
      <c r="B6" s="69">
        <f>'03-04 by sector and science'!G58/1000</f>
        <v>4568.168</v>
      </c>
      <c r="C6" s="69">
        <f t="shared" si="0"/>
        <v>4916.365051341369</v>
      </c>
      <c r="D6" s="69">
        <f t="shared" si="0"/>
        <v>4987.4040483097315</v>
      </c>
      <c r="E6" s="69">
        <f t="shared" si="0"/>
        <v>5128.614498824068</v>
      </c>
      <c r="F6" s="69">
        <f t="shared" si="0"/>
        <v>5215.948847028667</v>
      </c>
      <c r="G6" s="69">
        <f t="shared" si="0"/>
        <v>5268.108335498953</v>
      </c>
      <c r="H6" s="69">
        <f t="shared" si="0"/>
        <v>5320.789418853943</v>
      </c>
      <c r="I6" s="69">
        <f t="shared" si="0"/>
        <v>5373.997313042482</v>
      </c>
      <c r="J6" s="143">
        <f t="shared" si="1"/>
        <v>805.8293130424827</v>
      </c>
      <c r="K6" s="70"/>
      <c r="L6" s="42"/>
      <c r="M6" s="6"/>
      <c r="N6" s="6"/>
      <c r="O6" s="4"/>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s="5" customFormat="1" ht="11.25" customHeight="1">
      <c r="A7" s="127" t="s">
        <v>156</v>
      </c>
      <c r="B7" s="69">
        <v>0</v>
      </c>
      <c r="C7" s="69">
        <v>0</v>
      </c>
      <c r="D7" s="69">
        <v>0</v>
      </c>
      <c r="E7" s="69">
        <f>B79</f>
        <v>0</v>
      </c>
      <c r="F7" s="69">
        <f>C79</f>
        <v>0</v>
      </c>
      <c r="G7" s="69">
        <f>D79</f>
        <v>0</v>
      </c>
      <c r="H7" s="69">
        <f>E79</f>
        <v>0</v>
      </c>
      <c r="I7" s="69">
        <f>F79</f>
        <v>0</v>
      </c>
      <c r="J7" s="143" t="s">
        <v>129</v>
      </c>
      <c r="K7" s="70"/>
      <c r="L7" s="42"/>
      <c r="M7" s="6"/>
      <c r="N7" s="6"/>
      <c r="O7" s="4"/>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s="5" customFormat="1" ht="11.25" customHeight="1">
      <c r="A8" s="127" t="s">
        <v>132</v>
      </c>
      <c r="B8" s="69">
        <f>SUM(B5:B6)</f>
        <v>6833.87</v>
      </c>
      <c r="C8" s="69">
        <f>SUM(C5:C6)</f>
        <v>7257.015878864457</v>
      </c>
      <c r="D8" s="69">
        <f>SUM(D5:D6)</f>
        <v>7542.712455436727</v>
      </c>
      <c r="E8" s="69">
        <f>E5+E6-E7</f>
        <v>7779.901074403359</v>
      </c>
      <c r="F8" s="69">
        <f>F5+F6-F7</f>
        <v>7988.677725311343</v>
      </c>
      <c r="G8" s="69">
        <f>G5+G6-G7</f>
        <v>8168.382742182634</v>
      </c>
      <c r="H8" s="69">
        <f>H5+H6-H7</f>
        <v>8354.476448245072</v>
      </c>
      <c r="I8" s="69">
        <f>I5+I6-I7</f>
        <v>8547.233945785603</v>
      </c>
      <c r="J8" s="143">
        <f t="shared" si="1"/>
        <v>1713.3639457856034</v>
      </c>
      <c r="K8" s="70"/>
      <c r="L8" s="42"/>
      <c r="M8" s="6"/>
      <c r="N8" s="6"/>
      <c r="O8" s="4"/>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s="5" customFormat="1" ht="11.25" customHeight="1">
      <c r="A9" s="127" t="s">
        <v>133</v>
      </c>
      <c r="B9" s="69">
        <f>('03-04 by sector and science'!D58/1000)-('03-04 by sector and science'!B17/1000)</f>
        <v>4845.317</v>
      </c>
      <c r="C9" s="69">
        <f aca="true" t="shared" si="2" ref="C9:I10">(B22/100+1)*B9</f>
        <v>5102.118801</v>
      </c>
      <c r="D9" s="69">
        <f t="shared" si="2"/>
        <v>5372.531097452999</v>
      </c>
      <c r="E9" s="69">
        <f t="shared" si="2"/>
        <v>5657.275245618008</v>
      </c>
      <c r="F9" s="69">
        <f t="shared" si="2"/>
        <v>5957.110833635762</v>
      </c>
      <c r="G9" s="69">
        <f t="shared" si="2"/>
        <v>6272.837707818457</v>
      </c>
      <c r="H9" s="69">
        <f t="shared" si="2"/>
        <v>6605.298106332834</v>
      </c>
      <c r="I9" s="69">
        <f t="shared" si="2"/>
        <v>6955.378905968474</v>
      </c>
      <c r="J9" s="143">
        <f t="shared" si="1"/>
        <v>2110.061905968474</v>
      </c>
      <c r="K9" s="70"/>
      <c r="L9" s="42"/>
      <c r="M9" s="6"/>
      <c r="N9" s="6"/>
      <c r="O9" s="4"/>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s="5" customFormat="1" ht="11.25" customHeight="1">
      <c r="A10" s="127" t="s">
        <v>118</v>
      </c>
      <c r="B10" s="69">
        <f>'98-04 (03-04 prices)'!G17/1000</f>
        <v>1121.494</v>
      </c>
      <c r="C10" s="69">
        <f t="shared" si="2"/>
        <v>1180.9331819999998</v>
      </c>
      <c r="D10" s="69">
        <f t="shared" si="2"/>
        <v>1243.5226406459997</v>
      </c>
      <c r="E10" s="69">
        <f t="shared" si="2"/>
        <v>1309.4293406002375</v>
      </c>
      <c r="F10" s="69">
        <f t="shared" si="2"/>
        <v>1378.82909565205</v>
      </c>
      <c r="G10" s="69">
        <f t="shared" si="2"/>
        <v>1451.9070377216085</v>
      </c>
      <c r="H10" s="69">
        <f t="shared" si="2"/>
        <v>1528.8581107208536</v>
      </c>
      <c r="I10" s="69">
        <f t="shared" si="2"/>
        <v>1609.8875905890586</v>
      </c>
      <c r="J10" s="143">
        <f t="shared" si="1"/>
        <v>488.3935905890587</v>
      </c>
      <c r="K10" s="70"/>
      <c r="L10" s="42"/>
      <c r="M10" s="6"/>
      <c r="N10" s="6"/>
      <c r="O10" s="4"/>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s="5" customFormat="1" ht="11.25" customHeight="1" hidden="1">
      <c r="A11" s="127" t="s">
        <v>128</v>
      </c>
      <c r="B11" s="69">
        <f>'03-04 by sector and science'!E58/1000</f>
        <v>1089.95</v>
      </c>
      <c r="C11" s="69">
        <f>(B24/100+1)*B11</f>
        <v>1112.2743566064096</v>
      </c>
      <c r="D11" s="69">
        <f>(C24/100+1)*C11</f>
        <v>1143.2037144176427</v>
      </c>
      <c r="E11" s="15">
        <f>$D11+(B32/1000000)</f>
        <v>1484.7652544176426</v>
      </c>
      <c r="F11" s="15">
        <f>$D11+(C32/1000000)</f>
        <v>1802.8194444176427</v>
      </c>
      <c r="G11" s="15">
        <f>$D11+(D32/1000000)</f>
        <v>2094.192414417643</v>
      </c>
      <c r="H11" s="15">
        <f>$D11+(E32/1000000)</f>
        <v>2099.9790374176428</v>
      </c>
      <c r="I11" s="15">
        <f>$D11+(F32/1000000)</f>
        <v>2164.1405684176425</v>
      </c>
      <c r="J11" s="163">
        <f t="shared" si="1"/>
        <v>1074.1905684176425</v>
      </c>
      <c r="K11" s="70"/>
      <c r="L11" s="42"/>
      <c r="M11" s="6"/>
      <c r="N11" s="6"/>
      <c r="O11" s="4"/>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s="5" customFormat="1" ht="11.25" customHeight="1">
      <c r="A12" s="127" t="s">
        <v>134</v>
      </c>
      <c r="B12" s="15">
        <f>B11</f>
        <v>1089.95</v>
      </c>
      <c r="C12" s="15">
        <f>C11</f>
        <v>1112.2743566064096</v>
      </c>
      <c r="D12" s="15">
        <f>D11</f>
        <v>1143.2037144176427</v>
      </c>
      <c r="E12" s="189">
        <f>E11+(E11*B84/100)</f>
        <v>1484.7652544176426</v>
      </c>
      <c r="F12" s="189">
        <f>F11+(F11*C84/100)</f>
        <v>1802.8194444176427</v>
      </c>
      <c r="G12" s="189">
        <f>G11+(G11*D84/100)</f>
        <v>2094.192414417643</v>
      </c>
      <c r="H12" s="189">
        <f>H11+(H11*E84/100)</f>
        <v>2099.9790374176428</v>
      </c>
      <c r="I12" s="189">
        <f>I11+(I11*F84/100)</f>
        <v>2164.1405684176425</v>
      </c>
      <c r="J12" s="190">
        <f>I12-B11</f>
        <v>1074.1905684176425</v>
      </c>
      <c r="K12" s="70"/>
      <c r="L12" s="42"/>
      <c r="M12" s="6"/>
      <c r="N12" s="6"/>
      <c r="O12" s="4"/>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s="5" customFormat="1" ht="11.25" customHeight="1">
      <c r="A13" s="144" t="s">
        <v>72</v>
      </c>
      <c r="B13" s="145">
        <f>B8+B9+B10+B11</f>
        <v>13890.631000000001</v>
      </c>
      <c r="C13" s="145">
        <f aca="true" t="shared" si="3" ref="C13:H13">C8+C9+C10+C11</f>
        <v>14652.342218470865</v>
      </c>
      <c r="D13" s="145">
        <f t="shared" si="3"/>
        <v>15301.969907953368</v>
      </c>
      <c r="E13" s="145">
        <f t="shared" si="3"/>
        <v>16231.37091503925</v>
      </c>
      <c r="F13" s="145">
        <f t="shared" si="3"/>
        <v>17127.4370990168</v>
      </c>
      <c r="G13" s="145">
        <f t="shared" si="3"/>
        <v>17987.31990214034</v>
      </c>
      <c r="H13" s="145">
        <f t="shared" si="3"/>
        <v>18588.6117027164</v>
      </c>
      <c r="I13" s="145">
        <f>I8+I9+I10+I12</f>
        <v>19276.64101076078</v>
      </c>
      <c r="J13" s="146">
        <f t="shared" si="1"/>
        <v>5386.01001076078</v>
      </c>
      <c r="K13" s="86"/>
      <c r="L13" s="6"/>
      <c r="M13" s="6"/>
      <c r="N13" s="6"/>
      <c r="O13" s="4"/>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s="5" customFormat="1" ht="11.25" customHeight="1">
      <c r="A14" s="147" t="s">
        <v>116</v>
      </c>
      <c r="B14" s="148"/>
      <c r="C14" s="149">
        <f>C13/B13*100-100</f>
        <v>5.483632949942049</v>
      </c>
      <c r="D14" s="149">
        <f aca="true" t="shared" si="4" ref="D14:I14">D13/C13*100-100</f>
        <v>4.433609861115428</v>
      </c>
      <c r="E14" s="149">
        <f t="shared" si="4"/>
        <v>6.0737343797991485</v>
      </c>
      <c r="F14" s="149">
        <f t="shared" si="4"/>
        <v>5.520582264233113</v>
      </c>
      <c r="G14" s="149">
        <f t="shared" si="4"/>
        <v>5.020498969883263</v>
      </c>
      <c r="H14" s="149">
        <f t="shared" si="4"/>
        <v>3.34286488397035</v>
      </c>
      <c r="I14" s="149">
        <f t="shared" si="4"/>
        <v>3.7013485409662934</v>
      </c>
      <c r="J14" s="150">
        <f>J13/B13*100</f>
        <v>38.77440852586739</v>
      </c>
      <c r="K14" s="86"/>
      <c r="L14" s="6"/>
      <c r="M14" s="6"/>
      <c r="N14" s="6"/>
      <c r="O14" s="4"/>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s="5" customFormat="1" ht="11.25" customHeight="1">
      <c r="A15" s="19"/>
      <c r="B15" s="87"/>
      <c r="C15" s="87"/>
      <c r="D15" s="87"/>
      <c r="E15" s="87"/>
      <c r="F15" s="87"/>
      <c r="G15" s="87"/>
      <c r="H15" s="87"/>
      <c r="I15" s="87"/>
      <c r="J15" s="17"/>
      <c r="K15" s="86"/>
      <c r="L15" s="6"/>
      <c r="M15" s="6"/>
      <c r="N15" s="6"/>
      <c r="O15" s="4"/>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s="5" customFormat="1" ht="11.25" customHeight="1">
      <c r="A16" s="123" t="s">
        <v>119</v>
      </c>
      <c r="B16" s="124"/>
      <c r="C16" s="124"/>
      <c r="D16" s="124"/>
      <c r="E16" s="124"/>
      <c r="F16" s="124"/>
      <c r="G16" s="125"/>
      <c r="H16" s="126"/>
      <c r="I16" s="69"/>
      <c r="J16" s="60"/>
      <c r="K16" s="70"/>
      <c r="L16" s="42"/>
      <c r="M16" s="6"/>
      <c r="N16" s="6"/>
      <c r="O16" s="4"/>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s="5" customFormat="1" ht="48" customHeight="1">
      <c r="A17" s="214" t="s">
        <v>136</v>
      </c>
      <c r="B17" s="215"/>
      <c r="C17" s="215"/>
      <c r="D17" s="215"/>
      <c r="E17" s="215"/>
      <c r="F17" s="215"/>
      <c r="G17" s="215"/>
      <c r="H17" s="216"/>
      <c r="I17" s="60"/>
      <c r="J17" s="60"/>
      <c r="K17" s="70"/>
      <c r="L17" s="42"/>
      <c r="M17" s="6"/>
      <c r="N17" s="6"/>
      <c r="O17" s="4"/>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s="5" customFormat="1" ht="12.75">
      <c r="A18" s="127"/>
      <c r="B18" s="128"/>
      <c r="C18" s="128"/>
      <c r="D18" s="128"/>
      <c r="E18" s="128"/>
      <c r="F18" s="128"/>
      <c r="G18" s="128"/>
      <c r="H18" s="129"/>
      <c r="I18" s="60"/>
      <c r="J18" s="60"/>
      <c r="K18" s="70"/>
      <c r="L18" s="42"/>
      <c r="M18" s="6"/>
      <c r="N18" s="6"/>
      <c r="O18" s="4"/>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1" s="5" customFormat="1" ht="11.25" customHeight="1">
      <c r="A19" s="131"/>
      <c r="B19" s="34" t="s">
        <v>79</v>
      </c>
      <c r="C19" s="34" t="s">
        <v>80</v>
      </c>
      <c r="D19" s="34" t="s">
        <v>81</v>
      </c>
      <c r="E19" s="34" t="s">
        <v>82</v>
      </c>
      <c r="F19" s="11" t="s">
        <v>83</v>
      </c>
      <c r="G19" s="11" t="s">
        <v>84</v>
      </c>
      <c r="H19" s="132" t="s">
        <v>85</v>
      </c>
      <c r="I19" s="60"/>
      <c r="J19" s="70"/>
      <c r="K19" s="42"/>
      <c r="L19" s="6"/>
      <c r="M19" s="6"/>
      <c r="N19" s="4"/>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row>
    <row r="20" spans="1:41" s="5" customFormat="1" ht="11.25">
      <c r="A20" s="133" t="s">
        <v>86</v>
      </c>
      <c r="B20" s="121">
        <f>C59</f>
        <v>3.3079737548489305</v>
      </c>
      <c r="C20" s="121">
        <f>D59</f>
        <v>9.170850136201736</v>
      </c>
      <c r="D20" s="121">
        <f>E59</f>
        <v>3.756030707863033</v>
      </c>
      <c r="E20" s="121">
        <f>F59</f>
        <v>4.58050456793228</v>
      </c>
      <c r="F20" s="116">
        <v>4.6</v>
      </c>
      <c r="G20" s="116">
        <v>4.6</v>
      </c>
      <c r="H20" s="134">
        <v>4.6</v>
      </c>
      <c r="I20" s="60"/>
      <c r="J20" s="70"/>
      <c r="K20" s="42"/>
      <c r="L20" s="6"/>
      <c r="M20" s="6"/>
      <c r="N20" s="4"/>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row>
    <row r="21" spans="1:41" s="5" customFormat="1" ht="11.25" customHeight="1">
      <c r="A21" s="127" t="s">
        <v>87</v>
      </c>
      <c r="B21" s="113">
        <f>C69</f>
        <v>7.622247065812132</v>
      </c>
      <c r="C21" s="113">
        <f>D69</f>
        <v>1.4449495964295949</v>
      </c>
      <c r="D21" s="113">
        <f>E69</f>
        <v>2.8313416989384166</v>
      </c>
      <c r="E21" s="113">
        <f>F69</f>
        <v>1.7028838534193653</v>
      </c>
      <c r="F21" s="115">
        <v>1</v>
      </c>
      <c r="G21" s="115">
        <v>1</v>
      </c>
      <c r="H21" s="135">
        <v>1</v>
      </c>
      <c r="I21" s="61"/>
      <c r="J21" s="70"/>
      <c r="K21" s="42"/>
      <c r="L21" s="6"/>
      <c r="M21" s="6"/>
      <c r="N21" s="4"/>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row>
    <row r="22" spans="1:41" s="5" customFormat="1" ht="11.25" customHeight="1">
      <c r="A22" s="127" t="s">
        <v>74</v>
      </c>
      <c r="B22" s="115">
        <v>5.3</v>
      </c>
      <c r="C22" s="115">
        <f aca="true" t="shared" si="5" ref="C22:H22">B22</f>
        <v>5.3</v>
      </c>
      <c r="D22" s="115">
        <f t="shared" si="5"/>
        <v>5.3</v>
      </c>
      <c r="E22" s="115">
        <f t="shared" si="5"/>
        <v>5.3</v>
      </c>
      <c r="F22" s="115">
        <f t="shared" si="5"/>
        <v>5.3</v>
      </c>
      <c r="G22" s="115">
        <f t="shared" si="5"/>
        <v>5.3</v>
      </c>
      <c r="H22" s="135">
        <f t="shared" si="5"/>
        <v>5.3</v>
      </c>
      <c r="I22" s="60"/>
      <c r="J22" s="70"/>
      <c r="K22" s="42"/>
      <c r="L22" s="6"/>
      <c r="M22" s="6"/>
      <c r="N22" s="4"/>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row>
    <row r="23" spans="1:41" s="5" customFormat="1" ht="11.25" customHeight="1">
      <c r="A23" s="127" t="s">
        <v>118</v>
      </c>
      <c r="B23" s="115">
        <v>5.3</v>
      </c>
      <c r="C23" s="115">
        <v>5.3</v>
      </c>
      <c r="D23" s="115">
        <v>5.3</v>
      </c>
      <c r="E23" s="115">
        <v>5.3</v>
      </c>
      <c r="F23" s="115">
        <v>5.3</v>
      </c>
      <c r="G23" s="115">
        <v>5.3</v>
      </c>
      <c r="H23" s="135">
        <v>5.3</v>
      </c>
      <c r="I23" s="60"/>
      <c r="J23" s="70"/>
      <c r="K23" s="42"/>
      <c r="L23" s="6"/>
      <c r="M23" s="6"/>
      <c r="N23" s="4"/>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row>
    <row r="24" spans="1:41" s="5" customFormat="1" ht="11.25" customHeight="1">
      <c r="A24" s="136" t="s">
        <v>88</v>
      </c>
      <c r="B24" s="151">
        <f>C50</f>
        <v>2.0482000648111836</v>
      </c>
      <c r="C24" s="151">
        <f>C51</f>
        <v>2.780730997485165</v>
      </c>
      <c r="D24" s="152"/>
      <c r="E24" s="153"/>
      <c r="F24" s="153"/>
      <c r="G24" s="153"/>
      <c r="H24" s="154"/>
      <c r="I24" s="60"/>
      <c r="J24" s="70"/>
      <c r="K24" s="42"/>
      <c r="L24" s="6"/>
      <c r="M24" s="6"/>
      <c r="N24" s="4"/>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row>
    <row r="25" spans="1:41" s="5" customFormat="1" ht="11.25" customHeight="1">
      <c r="A25" s="80"/>
      <c r="B25" s="88"/>
      <c r="C25" s="88"/>
      <c r="D25" s="88"/>
      <c r="E25" s="89"/>
      <c r="F25" s="85"/>
      <c r="G25" s="85"/>
      <c r="H25" s="85"/>
      <c r="I25" s="60"/>
      <c r="J25" s="70"/>
      <c r="K25" s="42"/>
      <c r="L25" s="6"/>
      <c r="M25" s="6"/>
      <c r="N25" s="4"/>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12" s="9" customFormat="1" ht="22.5" customHeight="1">
      <c r="A26" s="123" t="s">
        <v>121</v>
      </c>
      <c r="B26" s="124"/>
      <c r="C26" s="124"/>
      <c r="D26" s="124"/>
      <c r="E26" s="124"/>
      <c r="F26" s="155"/>
      <c r="G26" s="69"/>
      <c r="H26" s="75"/>
      <c r="I26" s="76"/>
      <c r="J26" s="67"/>
      <c r="K26" s="71"/>
      <c r="L26" s="62"/>
    </row>
    <row r="27" spans="1:12" s="9" customFormat="1" ht="22.5" customHeight="1">
      <c r="A27" s="214" t="s">
        <v>138</v>
      </c>
      <c r="B27" s="217"/>
      <c r="C27" s="217"/>
      <c r="D27" s="217"/>
      <c r="E27" s="217"/>
      <c r="F27" s="216"/>
      <c r="G27" s="69"/>
      <c r="H27" s="75"/>
      <c r="I27" s="76"/>
      <c r="J27" s="67"/>
      <c r="K27" s="71"/>
      <c r="L27" s="62"/>
    </row>
    <row r="28" spans="1:12" s="9" customFormat="1" ht="12.75">
      <c r="A28" s="127"/>
      <c r="B28" s="122"/>
      <c r="C28" s="122"/>
      <c r="D28" s="122"/>
      <c r="E28" s="122"/>
      <c r="F28" s="129"/>
      <c r="G28" s="69"/>
      <c r="H28" s="75"/>
      <c r="I28" s="76"/>
      <c r="J28" s="67"/>
      <c r="K28" s="71"/>
      <c r="L28" s="62"/>
    </row>
    <row r="29" spans="1:18" s="9" customFormat="1" ht="12.75">
      <c r="A29" s="156"/>
      <c r="B29" s="34" t="s">
        <v>81</v>
      </c>
      <c r="C29" s="34" t="s">
        <v>82</v>
      </c>
      <c r="D29" s="11" t="s">
        <v>83</v>
      </c>
      <c r="E29" s="11" t="s">
        <v>84</v>
      </c>
      <c r="F29" s="132" t="s">
        <v>85</v>
      </c>
      <c r="G29" s="42"/>
      <c r="H29" s="67"/>
      <c r="I29" s="68"/>
      <c r="J29" s="67"/>
      <c r="K29" s="15"/>
      <c r="L29" s="64"/>
      <c r="M29" s="28"/>
      <c r="N29" s="28"/>
      <c r="O29" s="28"/>
      <c r="P29" s="28"/>
      <c r="Q29" s="28"/>
      <c r="R29" s="28"/>
    </row>
    <row r="30" spans="1:12" s="9" customFormat="1" ht="12.75">
      <c r="A30" s="127" t="s">
        <v>89</v>
      </c>
      <c r="B30" s="157">
        <v>458422340</v>
      </c>
      <c r="C30" s="32">
        <v>881887207</v>
      </c>
      <c r="D30" s="32">
        <v>1267965928</v>
      </c>
      <c r="E30" s="21">
        <v>1274651968</v>
      </c>
      <c r="F30" s="158">
        <v>1362348910</v>
      </c>
      <c r="G30" s="42"/>
      <c r="H30" s="67"/>
      <c r="I30" s="68"/>
      <c r="J30" s="67"/>
      <c r="K30" s="71"/>
      <c r="L30" s="62"/>
    </row>
    <row r="31" spans="1:12" s="9" customFormat="1" ht="12.75">
      <c r="A31" s="159" t="s">
        <v>90</v>
      </c>
      <c r="B31" s="157">
        <v>116860800</v>
      </c>
      <c r="C31" s="33">
        <v>222271477</v>
      </c>
      <c r="D31" s="33">
        <v>316977228</v>
      </c>
      <c r="E31" s="33">
        <v>317876645</v>
      </c>
      <c r="F31" s="160">
        <v>341412056</v>
      </c>
      <c r="G31" s="42"/>
      <c r="H31" s="67"/>
      <c r="I31" s="68"/>
      <c r="J31" s="67"/>
      <c r="K31" s="71"/>
      <c r="L31" s="62"/>
    </row>
    <row r="32" spans="1:12" s="9" customFormat="1" ht="12.75">
      <c r="A32" s="127" t="s">
        <v>91</v>
      </c>
      <c r="B32" s="114">
        <f>B30-B31</f>
        <v>341561540</v>
      </c>
      <c r="C32" s="114">
        <f>C30-C31</f>
        <v>659615730</v>
      </c>
      <c r="D32" s="114">
        <f>D30-D31</f>
        <v>950988700</v>
      </c>
      <c r="E32" s="114">
        <f>E30-E31</f>
        <v>956775323</v>
      </c>
      <c r="F32" s="192">
        <f>F30-F31</f>
        <v>1020936854</v>
      </c>
      <c r="G32" s="42"/>
      <c r="H32" s="67"/>
      <c r="I32" s="68"/>
      <c r="J32" s="67"/>
      <c r="K32" s="71"/>
      <c r="L32" s="62"/>
    </row>
    <row r="33" spans="1:12" s="9" customFormat="1" ht="12.75">
      <c r="A33" s="161" t="s">
        <v>93</v>
      </c>
      <c r="B33" s="15">
        <v>32849373</v>
      </c>
      <c r="C33" s="162">
        <v>38926809</v>
      </c>
      <c r="D33" s="15">
        <v>45505499</v>
      </c>
      <c r="E33" s="15">
        <v>45203542</v>
      </c>
      <c r="F33" s="163">
        <v>49806719</v>
      </c>
      <c r="G33" s="4"/>
      <c r="H33" s="67"/>
      <c r="I33" s="67"/>
      <c r="J33" s="67"/>
      <c r="K33" s="71"/>
      <c r="L33" s="62"/>
    </row>
    <row r="34" spans="1:12" s="9" customFormat="1" ht="12" customHeight="1">
      <c r="A34" s="136" t="s">
        <v>92</v>
      </c>
      <c r="B34" s="164">
        <f>B32-B33</f>
        <v>308712167</v>
      </c>
      <c r="C34" s="164">
        <f>C32-C33</f>
        <v>620688921</v>
      </c>
      <c r="D34" s="164">
        <f>D32-D33</f>
        <v>905483201</v>
      </c>
      <c r="E34" s="164">
        <f>E32-E33</f>
        <v>911571781</v>
      </c>
      <c r="F34" s="165">
        <f>F32-F33</f>
        <v>971130135</v>
      </c>
      <c r="G34" s="6"/>
      <c r="H34" s="67"/>
      <c r="I34" s="67"/>
      <c r="J34" s="67"/>
      <c r="K34" s="71"/>
      <c r="L34" s="62"/>
    </row>
    <row r="35" spans="1:18" ht="12.75">
      <c r="A35" s="82"/>
      <c r="B35" s="12"/>
      <c r="C35" s="12"/>
      <c r="D35" s="12"/>
      <c r="E35" s="38"/>
      <c r="F35" s="12"/>
      <c r="G35" s="4"/>
      <c r="H35" s="60"/>
      <c r="I35" s="60"/>
      <c r="J35" s="60"/>
      <c r="K35" s="69"/>
      <c r="L35" s="43"/>
      <c r="M35" s="4"/>
      <c r="N35" s="4"/>
      <c r="O35" s="4"/>
      <c r="P35" s="4"/>
      <c r="Q35" s="4"/>
      <c r="R35" s="4"/>
    </row>
    <row r="36" spans="1:18" ht="12.75">
      <c r="A36" s="167" t="s">
        <v>142</v>
      </c>
      <c r="B36" s="168"/>
      <c r="C36" s="195"/>
      <c r="D36" s="10"/>
      <c r="E36" s="10"/>
      <c r="F36" s="10"/>
      <c r="G36" s="43"/>
      <c r="H36" s="67"/>
      <c r="I36" s="68"/>
      <c r="J36" s="67"/>
      <c r="K36" s="69"/>
      <c r="L36" s="43"/>
      <c r="M36" s="4"/>
      <c r="N36" s="4"/>
      <c r="O36" s="4"/>
      <c r="P36" s="4"/>
      <c r="Q36" s="4"/>
      <c r="R36" s="4"/>
    </row>
    <row r="37" spans="1:18" ht="15.75" customHeight="1">
      <c r="A37" s="218" t="s">
        <v>141</v>
      </c>
      <c r="B37" s="221"/>
      <c r="C37" s="222"/>
      <c r="D37" s="10"/>
      <c r="E37" s="10"/>
      <c r="F37" s="10"/>
      <c r="G37" s="43"/>
      <c r="H37" s="67"/>
      <c r="I37" s="68"/>
      <c r="J37" s="67"/>
      <c r="K37" s="69"/>
      <c r="L37" s="43"/>
      <c r="M37" s="4"/>
      <c r="N37" s="4"/>
      <c r="O37" s="4"/>
      <c r="P37" s="4"/>
      <c r="Q37" s="4"/>
      <c r="R37" s="4"/>
    </row>
    <row r="38" spans="1:18" ht="12.75">
      <c r="A38" s="170"/>
      <c r="B38" s="194"/>
      <c r="C38" s="193"/>
      <c r="D38" s="10"/>
      <c r="E38" s="10"/>
      <c r="F38" s="10"/>
      <c r="G38" s="43"/>
      <c r="H38" s="67"/>
      <c r="I38" s="68"/>
      <c r="J38" s="67"/>
      <c r="K38" s="69"/>
      <c r="L38" s="43"/>
      <c r="M38" s="4"/>
      <c r="N38" s="4"/>
      <c r="O38" s="4"/>
      <c r="P38" s="4"/>
      <c r="Q38" s="4"/>
      <c r="R38" s="4"/>
    </row>
    <row r="39" spans="1:18" ht="22.5">
      <c r="A39" s="170"/>
      <c r="B39" s="194"/>
      <c r="C39" s="171" t="s">
        <v>115</v>
      </c>
      <c r="D39" s="10"/>
      <c r="E39" s="10"/>
      <c r="F39" s="10"/>
      <c r="G39" s="43"/>
      <c r="H39" s="67"/>
      <c r="I39" s="68"/>
      <c r="J39" s="67"/>
      <c r="K39" s="69"/>
      <c r="L39" s="43"/>
      <c r="M39" s="4"/>
      <c r="N39" s="4"/>
      <c r="O39" s="4"/>
      <c r="P39" s="4"/>
      <c r="Q39" s="4"/>
      <c r="R39" s="4"/>
    </row>
    <row r="40" spans="1:18" s="63" customFormat="1" ht="12.75">
      <c r="A40" s="170" t="s">
        <v>112</v>
      </c>
      <c r="B40" s="10">
        <v>1436510</v>
      </c>
      <c r="C40" s="171"/>
      <c r="D40" s="10"/>
      <c r="E40" s="10"/>
      <c r="F40" s="10"/>
      <c r="G40" s="43"/>
      <c r="H40" s="67"/>
      <c r="I40" s="68"/>
      <c r="J40" s="67"/>
      <c r="K40" s="69"/>
      <c r="L40" s="43"/>
      <c r="M40" s="43"/>
      <c r="N40" s="43"/>
      <c r="O40" s="43"/>
      <c r="P40" s="43"/>
      <c r="Q40" s="43"/>
      <c r="R40" s="43"/>
    </row>
    <row r="41" spans="1:18" ht="12.75">
      <c r="A41" s="170" t="s">
        <v>94</v>
      </c>
      <c r="B41" s="10">
        <v>1486544</v>
      </c>
      <c r="C41" s="172">
        <f>B41/B40*100-100</f>
        <v>3.4830248310140632</v>
      </c>
      <c r="D41" s="10"/>
      <c r="E41" s="10"/>
      <c r="F41" s="10"/>
      <c r="G41" s="43"/>
      <c r="H41" s="60"/>
      <c r="I41" s="60"/>
      <c r="J41" s="60"/>
      <c r="K41" s="69"/>
      <c r="L41" s="43"/>
      <c r="M41" s="4"/>
      <c r="N41" s="4"/>
      <c r="O41" s="4"/>
      <c r="P41" s="4"/>
      <c r="Q41" s="4"/>
      <c r="R41" s="4"/>
    </row>
    <row r="42" spans="1:18" ht="12.75">
      <c r="A42" s="170" t="s">
        <v>113</v>
      </c>
      <c r="B42" s="10">
        <v>1530390</v>
      </c>
      <c r="C42" s="172">
        <f>B42/B41*100-100</f>
        <v>2.9495258801623123</v>
      </c>
      <c r="D42" s="10"/>
      <c r="E42" s="10"/>
      <c r="F42" s="130"/>
      <c r="G42" s="43"/>
      <c r="H42" s="60"/>
      <c r="I42" s="60"/>
      <c r="J42" s="60"/>
      <c r="K42" s="69"/>
      <c r="L42" s="43"/>
      <c r="M42" s="4"/>
      <c r="N42" s="4"/>
      <c r="O42" s="4"/>
      <c r="P42" s="4"/>
      <c r="Q42" s="4"/>
      <c r="R42" s="4"/>
    </row>
    <row r="43" spans="1:18" ht="12.75">
      <c r="A43" s="173" t="s">
        <v>114</v>
      </c>
      <c r="B43" s="174">
        <v>1692997</v>
      </c>
      <c r="C43" s="198">
        <f>B43/B42*100-100</f>
        <v>10.62520011238965</v>
      </c>
      <c r="D43" s="10"/>
      <c r="E43" s="10"/>
      <c r="F43" s="113"/>
      <c r="G43" s="43"/>
      <c r="H43" s="60"/>
      <c r="I43" s="60"/>
      <c r="J43" s="60"/>
      <c r="K43" s="69"/>
      <c r="L43" s="43"/>
      <c r="M43" s="4"/>
      <c r="N43" s="4"/>
      <c r="O43" s="4"/>
      <c r="P43" s="4"/>
      <c r="Q43" s="4"/>
      <c r="R43" s="4"/>
    </row>
    <row r="44" spans="1:18" ht="12.75">
      <c r="A44" s="83"/>
      <c r="B44" s="10"/>
      <c r="C44" s="115"/>
      <c r="D44" s="10"/>
      <c r="E44" s="10"/>
      <c r="F44" s="113"/>
      <c r="G44" s="43"/>
      <c r="H44" s="60"/>
      <c r="I44" s="60"/>
      <c r="J44" s="60"/>
      <c r="K44" s="69"/>
      <c r="L44" s="43"/>
      <c r="M44" s="4"/>
      <c r="N44" s="4"/>
      <c r="O44" s="4"/>
      <c r="P44" s="4"/>
      <c r="Q44" s="4"/>
      <c r="R44" s="4"/>
    </row>
    <row r="45" spans="1:18" ht="12.75">
      <c r="A45" s="167" t="s">
        <v>130</v>
      </c>
      <c r="B45" s="168"/>
      <c r="C45" s="201"/>
      <c r="D45" s="10"/>
      <c r="E45" s="10"/>
      <c r="F45" s="113"/>
      <c r="G45" s="43"/>
      <c r="H45" s="60"/>
      <c r="I45" s="60"/>
      <c r="J45" s="60"/>
      <c r="K45" s="69"/>
      <c r="L45" s="43"/>
      <c r="M45" s="4"/>
      <c r="N45" s="4"/>
      <c r="O45" s="4"/>
      <c r="P45" s="4"/>
      <c r="Q45" s="4"/>
      <c r="R45" s="4"/>
    </row>
    <row r="46" spans="1:18" ht="57.75" customHeight="1">
      <c r="A46" s="218" t="s">
        <v>139</v>
      </c>
      <c r="B46" s="215"/>
      <c r="C46" s="216"/>
      <c r="D46" s="10"/>
      <c r="E46" s="10"/>
      <c r="F46" s="113"/>
      <c r="G46" s="43"/>
      <c r="H46" s="60"/>
      <c r="I46" s="60"/>
      <c r="J46" s="60"/>
      <c r="K46" s="69"/>
      <c r="L46" s="43"/>
      <c r="M46" s="4"/>
      <c r="N46" s="4"/>
      <c r="O46" s="4"/>
      <c r="P46" s="4"/>
      <c r="Q46" s="4"/>
      <c r="R46" s="4"/>
    </row>
    <row r="47" spans="1:18" ht="12.75">
      <c r="A47" s="170"/>
      <c r="B47" s="10"/>
      <c r="C47" s="135"/>
      <c r="D47" s="10"/>
      <c r="E47" s="10"/>
      <c r="F47" s="113"/>
      <c r="G47" s="43"/>
      <c r="H47" s="60"/>
      <c r="I47" s="60"/>
      <c r="J47" s="60"/>
      <c r="K47" s="69"/>
      <c r="L47" s="43"/>
      <c r="M47" s="4"/>
      <c r="N47" s="4"/>
      <c r="O47" s="4"/>
      <c r="P47" s="4"/>
      <c r="Q47" s="4"/>
      <c r="R47" s="4"/>
    </row>
    <row r="48" spans="1:18" ht="22.5">
      <c r="A48" s="170"/>
      <c r="B48" s="10" t="s">
        <v>131</v>
      </c>
      <c r="C48" s="171" t="s">
        <v>115</v>
      </c>
      <c r="D48" s="10"/>
      <c r="E48" s="10"/>
      <c r="F48" s="113"/>
      <c r="G48" s="43"/>
      <c r="H48" s="60"/>
      <c r="I48" s="60"/>
      <c r="J48" s="60"/>
      <c r="K48" s="69"/>
      <c r="L48" s="43"/>
      <c r="M48" s="4"/>
      <c r="N48" s="4"/>
      <c r="O48" s="4"/>
      <c r="P48" s="4"/>
      <c r="Q48" s="4"/>
      <c r="R48" s="4"/>
    </row>
    <row r="49" spans="1:18" ht="12.75">
      <c r="A49" s="170" t="s">
        <v>38</v>
      </c>
      <c r="B49" s="93">
        <v>842447</v>
      </c>
      <c r="C49" s="171"/>
      <c r="D49" s="10"/>
      <c r="E49" s="10"/>
      <c r="F49" s="113"/>
      <c r="G49" s="43"/>
      <c r="H49" s="60"/>
      <c r="I49" s="60"/>
      <c r="J49" s="60"/>
      <c r="K49" s="69"/>
      <c r="L49" s="43"/>
      <c r="M49" s="4"/>
      <c r="N49" s="4"/>
      <c r="O49" s="4"/>
      <c r="P49" s="4"/>
      <c r="Q49" s="4"/>
      <c r="R49" s="4"/>
    </row>
    <row r="50" spans="1:18" ht="12.75">
      <c r="A50" s="170" t="s">
        <v>79</v>
      </c>
      <c r="B50" s="10">
        <v>859702</v>
      </c>
      <c r="C50" s="135">
        <f>B50/B49*100-100</f>
        <v>2.0482000648111836</v>
      </c>
      <c r="D50" s="10"/>
      <c r="E50" s="10"/>
      <c r="F50" s="113"/>
      <c r="G50" s="43"/>
      <c r="H50" s="60"/>
      <c r="I50" s="60"/>
      <c r="J50" s="60"/>
      <c r="K50" s="69"/>
      <c r="L50" s="43"/>
      <c r="M50" s="4"/>
      <c r="N50" s="4"/>
      <c r="O50" s="4"/>
      <c r="P50" s="4"/>
      <c r="Q50" s="4"/>
      <c r="R50" s="4"/>
    </row>
    <row r="51" spans="1:18" ht="12.75">
      <c r="A51" s="173" t="s">
        <v>80</v>
      </c>
      <c r="B51" s="174">
        <v>883608</v>
      </c>
      <c r="C51" s="137">
        <f>B51/B50*100-100</f>
        <v>2.780730997485165</v>
      </c>
      <c r="D51" s="10"/>
      <c r="E51" s="10"/>
      <c r="F51" s="113"/>
      <c r="G51" s="43"/>
      <c r="H51" s="60"/>
      <c r="I51" s="60"/>
      <c r="J51" s="60"/>
      <c r="K51" s="69"/>
      <c r="L51" s="43"/>
      <c r="M51" s="4"/>
      <c r="N51" s="4"/>
      <c r="O51" s="4"/>
      <c r="P51" s="4"/>
      <c r="Q51" s="4"/>
      <c r="R51" s="4"/>
    </row>
    <row r="52" spans="1:18" ht="12.75">
      <c r="A52" s="83"/>
      <c r="B52" s="10"/>
      <c r="C52" s="10"/>
      <c r="D52" s="10"/>
      <c r="E52" s="10"/>
      <c r="F52" s="10"/>
      <c r="G52" s="43"/>
      <c r="H52" s="60"/>
      <c r="I52" s="60"/>
      <c r="J52" s="60"/>
      <c r="K52" s="69"/>
      <c r="L52" s="43"/>
      <c r="M52" s="4"/>
      <c r="N52" s="4"/>
      <c r="O52" s="4"/>
      <c r="P52" s="4"/>
      <c r="Q52" s="4"/>
      <c r="R52" s="4"/>
    </row>
    <row r="53" spans="1:18" ht="12.75">
      <c r="A53" s="167" t="s">
        <v>122</v>
      </c>
      <c r="B53" s="168"/>
      <c r="C53" s="168"/>
      <c r="D53" s="168"/>
      <c r="E53" s="168"/>
      <c r="F53" s="169"/>
      <c r="G53" s="43"/>
      <c r="H53" s="67"/>
      <c r="I53" s="68"/>
      <c r="J53" s="67"/>
      <c r="K53" s="69"/>
      <c r="L53" s="43"/>
      <c r="M53" s="4"/>
      <c r="N53" s="4"/>
      <c r="O53" s="4"/>
      <c r="P53" s="4"/>
      <c r="Q53" s="4"/>
      <c r="R53" s="4"/>
    </row>
    <row r="54" spans="1:18" s="59" customFormat="1" ht="12.75">
      <c r="A54" s="175"/>
      <c r="B54" s="110" t="s">
        <v>38</v>
      </c>
      <c r="C54" s="110" t="s">
        <v>79</v>
      </c>
      <c r="D54" s="110" t="s">
        <v>80</v>
      </c>
      <c r="E54" s="110" t="s">
        <v>81</v>
      </c>
      <c r="F54" s="176" t="s">
        <v>82</v>
      </c>
      <c r="G54" s="20"/>
      <c r="H54" s="110"/>
      <c r="I54" s="111"/>
      <c r="J54" s="112"/>
      <c r="K54" s="20"/>
      <c r="L54" s="20"/>
      <c r="M54" s="20"/>
      <c r="N54" s="20"/>
      <c r="O54" s="20"/>
      <c r="P54" s="20"/>
      <c r="Q54" s="20"/>
      <c r="R54" s="20"/>
    </row>
    <row r="55" spans="1:18" s="47" customFormat="1" ht="11.25">
      <c r="A55" s="58" t="s">
        <v>101</v>
      </c>
      <c r="B55" s="90">
        <v>2377</v>
      </c>
      <c r="C55" s="90">
        <f>2575</f>
        <v>2575</v>
      </c>
      <c r="D55" s="90">
        <f>2913</f>
        <v>2913</v>
      </c>
      <c r="E55" s="90">
        <f>3067</f>
        <v>3067</v>
      </c>
      <c r="F55" s="177">
        <f>3282</f>
        <v>3282</v>
      </c>
      <c r="G55" s="103"/>
      <c r="H55" s="104"/>
      <c r="I55" s="105"/>
      <c r="J55" s="104"/>
      <c r="K55" s="106"/>
      <c r="L55" s="103"/>
      <c r="M55" s="107"/>
      <c r="N55" s="107"/>
      <c r="O55" s="107"/>
      <c r="P55" s="107"/>
      <c r="Q55" s="107"/>
      <c r="R55" s="107"/>
    </row>
    <row r="56" spans="1:18" s="47" customFormat="1" ht="11.25">
      <c r="A56" s="58" t="s">
        <v>102</v>
      </c>
      <c r="B56" s="90">
        <v>1282</v>
      </c>
      <c r="C56" s="90">
        <v>1326</v>
      </c>
      <c r="D56" s="90">
        <v>1465</v>
      </c>
      <c r="E56" s="90">
        <v>1589</v>
      </c>
      <c r="F56" s="177">
        <v>1709</v>
      </c>
      <c r="G56" s="103"/>
      <c r="H56" s="104"/>
      <c r="I56" s="105"/>
      <c r="J56" s="104"/>
      <c r="K56" s="106"/>
      <c r="L56" s="103"/>
      <c r="M56" s="107"/>
      <c r="N56" s="107"/>
      <c r="O56" s="107"/>
      <c r="P56" s="107"/>
      <c r="Q56" s="107"/>
      <c r="R56" s="107"/>
    </row>
    <row r="57" spans="1:18" s="47" customFormat="1" ht="11.25">
      <c r="A57" s="58" t="s">
        <v>103</v>
      </c>
      <c r="B57" s="90">
        <f>B55+B56</f>
        <v>3659</v>
      </c>
      <c r="C57" s="90">
        <f>C55+C56</f>
        <v>3901</v>
      </c>
      <c r="D57" s="90">
        <f>D55+D56</f>
        <v>4378</v>
      </c>
      <c r="E57" s="90">
        <f>E55+E56</f>
        <v>4656</v>
      </c>
      <c r="F57" s="177">
        <f>F55+F56</f>
        <v>4991</v>
      </c>
      <c r="G57" s="107"/>
      <c r="H57" s="108"/>
      <c r="I57" s="109"/>
      <c r="J57" s="109"/>
      <c r="K57" s="106"/>
      <c r="L57" s="103"/>
      <c r="M57" s="107"/>
      <c r="N57" s="107"/>
      <c r="O57" s="107"/>
      <c r="P57" s="107"/>
      <c r="Q57" s="107"/>
      <c r="R57" s="107"/>
    </row>
    <row r="58" spans="1:18" s="47" customFormat="1" ht="11.25">
      <c r="A58" s="58" t="s">
        <v>104</v>
      </c>
      <c r="B58" s="90"/>
      <c r="C58" s="119">
        <f>C57/B57*100-100</f>
        <v>6.613828915004106</v>
      </c>
      <c r="D58" s="119">
        <f>D57/C57*100-100</f>
        <v>12.22763394001538</v>
      </c>
      <c r="E58" s="119">
        <f>E57/D57*100-100</f>
        <v>6.349931475559629</v>
      </c>
      <c r="F58" s="120">
        <f>F57/E57*100-100</f>
        <v>7.195017182130584</v>
      </c>
      <c r="G58" s="107"/>
      <c r="H58" s="109"/>
      <c r="I58" s="109"/>
      <c r="J58" s="109"/>
      <c r="K58" s="106"/>
      <c r="L58" s="103"/>
      <c r="M58" s="107"/>
      <c r="N58" s="107"/>
      <c r="O58" s="107"/>
      <c r="P58" s="107"/>
      <c r="Q58" s="107"/>
      <c r="R58" s="107"/>
    </row>
    <row r="59" spans="1:18" s="47" customFormat="1" ht="11.25">
      <c r="A59" s="58" t="s">
        <v>143</v>
      </c>
      <c r="B59" s="90"/>
      <c r="C59" s="117">
        <f>C57/(B57*B68)*100-100</f>
        <v>3.3079737548489305</v>
      </c>
      <c r="D59" s="117">
        <f>D57/(C57*C68)*100-100</f>
        <v>9.170850136201736</v>
      </c>
      <c r="E59" s="117">
        <f>E57/(D57*D68)*100-100</f>
        <v>3.756030707863033</v>
      </c>
      <c r="F59" s="118">
        <f>F57/(E57*E68)*100-100</f>
        <v>4.58050456793228</v>
      </c>
      <c r="G59" s="107"/>
      <c r="H59" s="109"/>
      <c r="I59" s="109"/>
      <c r="J59" s="109"/>
      <c r="K59" s="106"/>
      <c r="L59" s="103"/>
      <c r="M59" s="107"/>
      <c r="N59" s="107"/>
      <c r="O59" s="107"/>
      <c r="P59" s="107"/>
      <c r="Q59" s="107"/>
      <c r="R59" s="107"/>
    </row>
    <row r="60" spans="1:18" ht="12.75">
      <c r="A60" s="156" t="s">
        <v>105</v>
      </c>
      <c r="B60" s="178" t="s">
        <v>106</v>
      </c>
      <c r="C60" s="223" t="s">
        <v>107</v>
      </c>
      <c r="D60" s="224"/>
      <c r="E60" s="224"/>
      <c r="F60" s="220"/>
      <c r="G60" s="43"/>
      <c r="H60" s="60"/>
      <c r="I60" s="60"/>
      <c r="J60" s="60"/>
      <c r="K60" s="69"/>
      <c r="L60" s="43"/>
      <c r="M60" s="4"/>
      <c r="N60" s="4"/>
      <c r="O60" s="4"/>
      <c r="P60" s="4"/>
      <c r="Q60" s="4"/>
      <c r="R60" s="4"/>
    </row>
    <row r="61" spans="1:18" ht="12.75">
      <c r="A61" s="180"/>
      <c r="B61" s="181" t="s">
        <v>108</v>
      </c>
      <c r="C61" s="225"/>
      <c r="D61" s="225"/>
      <c r="E61" s="225"/>
      <c r="F61" s="226"/>
      <c r="G61" s="43"/>
      <c r="H61" s="67"/>
      <c r="I61" s="68"/>
      <c r="J61" s="67"/>
      <c r="K61" s="69"/>
      <c r="L61" s="43"/>
      <c r="M61" s="4"/>
      <c r="N61" s="4"/>
      <c r="O61" s="4"/>
      <c r="P61" s="4"/>
      <c r="Q61" s="4"/>
      <c r="R61" s="4"/>
    </row>
    <row r="62" spans="1:18" ht="12.75">
      <c r="A62" s="9"/>
      <c r="B62" s="178"/>
      <c r="C62" s="179"/>
      <c r="D62" s="179"/>
      <c r="E62" s="179"/>
      <c r="F62" s="179"/>
      <c r="G62" s="43"/>
      <c r="H62" s="67"/>
      <c r="I62" s="68"/>
      <c r="J62" s="67"/>
      <c r="K62" s="69"/>
      <c r="L62" s="43"/>
      <c r="M62" s="4"/>
      <c r="N62" s="4"/>
      <c r="O62" s="4"/>
      <c r="P62" s="4"/>
      <c r="Q62" s="4"/>
      <c r="R62" s="4"/>
    </row>
    <row r="63" spans="1:18" ht="12.75">
      <c r="A63" s="182" t="s">
        <v>123</v>
      </c>
      <c r="B63" s="183"/>
      <c r="C63" s="183"/>
      <c r="D63" s="184"/>
      <c r="E63" s="184"/>
      <c r="F63" s="185"/>
      <c r="G63" s="43"/>
      <c r="H63" s="60"/>
      <c r="I63" s="60"/>
      <c r="J63" s="60"/>
      <c r="K63" s="69"/>
      <c r="L63" s="43"/>
      <c r="M63" s="4"/>
      <c r="N63" s="4"/>
      <c r="O63" s="4"/>
      <c r="P63" s="4"/>
      <c r="Q63" s="4"/>
      <c r="R63" s="4"/>
    </row>
    <row r="64" spans="1:18" ht="12.75">
      <c r="A64" s="58" t="s">
        <v>95</v>
      </c>
      <c r="B64" s="90">
        <v>5484</v>
      </c>
      <c r="C64" s="90">
        <v>5993</v>
      </c>
      <c r="D64" s="90">
        <v>6332</v>
      </c>
      <c r="E64" s="186">
        <f>E65*(D64/D65)</f>
        <v>6718.921435499516</v>
      </c>
      <c r="F64" s="187">
        <f>F65*(E64/E65)</f>
        <v>7056.709990300679</v>
      </c>
      <c r="G64" s="43"/>
      <c r="H64" s="67"/>
      <c r="I64" s="68"/>
      <c r="J64" s="67"/>
      <c r="K64" s="69"/>
      <c r="L64" s="43"/>
      <c r="M64" s="4"/>
      <c r="N64" s="4"/>
      <c r="O64" s="4"/>
      <c r="P64" s="4"/>
      <c r="Q64" s="4"/>
      <c r="R64" s="4"/>
    </row>
    <row r="65" spans="1:18" ht="12.75">
      <c r="A65" s="58" t="s">
        <v>96</v>
      </c>
      <c r="B65" s="90"/>
      <c r="C65" s="90"/>
      <c r="D65" s="90">
        <v>6186</v>
      </c>
      <c r="E65" s="91">
        <v>6564</v>
      </c>
      <c r="F65" s="92">
        <v>6894</v>
      </c>
      <c r="G65" s="43"/>
      <c r="H65" s="67"/>
      <c r="I65" s="68"/>
      <c r="J65" s="67"/>
      <c r="K65" s="69"/>
      <c r="L65" s="43"/>
      <c r="M65" s="4"/>
      <c r="N65" s="4"/>
      <c r="O65" s="4"/>
      <c r="P65" s="4"/>
      <c r="Q65" s="4"/>
      <c r="R65" s="4"/>
    </row>
    <row r="66" spans="1:18" ht="12.75">
      <c r="A66" s="58" t="s">
        <v>97</v>
      </c>
      <c r="B66" s="90">
        <f>B64-B56</f>
        <v>4202</v>
      </c>
      <c r="C66" s="90">
        <f>C64-C56</f>
        <v>4667</v>
      </c>
      <c r="D66" s="90">
        <f>D64-D56</f>
        <v>4867</v>
      </c>
      <c r="E66" s="93">
        <f>E64-E56</f>
        <v>5129.921435499516</v>
      </c>
      <c r="F66" s="94">
        <f>F64-F56</f>
        <v>5347.709990300679</v>
      </c>
      <c r="G66" s="43"/>
      <c r="H66" s="67"/>
      <c r="I66" s="68"/>
      <c r="J66" s="67"/>
      <c r="K66" s="69"/>
      <c r="L66" s="43"/>
      <c r="M66" s="4"/>
      <c r="N66" s="4"/>
      <c r="O66" s="4"/>
      <c r="P66" s="4"/>
      <c r="Q66" s="4"/>
      <c r="R66" s="4"/>
    </row>
    <row r="67" spans="1:18" ht="12.75">
      <c r="A67" s="58" t="s">
        <v>98</v>
      </c>
      <c r="B67" s="90"/>
      <c r="C67" s="95">
        <f>C66/B66*100-100</f>
        <v>11.066158971918142</v>
      </c>
      <c r="D67" s="95">
        <f>D66/C66*100-100</f>
        <v>4.28540818512964</v>
      </c>
      <c r="E67" s="95">
        <f>E66/D66*100-100</f>
        <v>5.402125241411852</v>
      </c>
      <c r="F67" s="96">
        <f>F66/E66*100-100</f>
        <v>4.245455949754856</v>
      </c>
      <c r="G67" s="43"/>
      <c r="H67" s="67"/>
      <c r="I67" s="68"/>
      <c r="J67" s="67"/>
      <c r="K67" s="69"/>
      <c r="L67" s="43"/>
      <c r="M67" s="4"/>
      <c r="N67" s="4"/>
      <c r="O67" s="4"/>
      <c r="P67" s="4"/>
      <c r="Q67" s="4"/>
      <c r="R67" s="4"/>
    </row>
    <row r="68" spans="1:18" ht="12.75">
      <c r="A68" s="58" t="s">
        <v>99</v>
      </c>
      <c r="B68" s="90">
        <v>1.032</v>
      </c>
      <c r="C68" s="97">
        <v>1.028</v>
      </c>
      <c r="D68" s="97">
        <v>1.025</v>
      </c>
      <c r="E68" s="97">
        <v>1.025</v>
      </c>
      <c r="F68" s="98">
        <v>1.025</v>
      </c>
      <c r="G68" s="4"/>
      <c r="H68" s="60"/>
      <c r="I68" s="60"/>
      <c r="J68" s="60"/>
      <c r="K68" s="69"/>
      <c r="L68" s="43"/>
      <c r="M68" s="4"/>
      <c r="N68" s="4"/>
      <c r="O68" s="4"/>
      <c r="P68" s="4"/>
      <c r="Q68" s="4"/>
      <c r="R68" s="4"/>
    </row>
    <row r="69" spans="1:6" ht="12.75">
      <c r="A69" s="58" t="s">
        <v>100</v>
      </c>
      <c r="B69" s="90"/>
      <c r="C69" s="117">
        <f>C66/(B66*B68)*100-100</f>
        <v>7.622247065812132</v>
      </c>
      <c r="D69" s="117">
        <f>D66/(C66*C68)*100-100</f>
        <v>1.4449495964295949</v>
      </c>
      <c r="E69" s="117">
        <f>E66/(D66*D68)*100-100</f>
        <v>2.8313416989384166</v>
      </c>
      <c r="F69" s="118">
        <f>F66/(E66*E68)*100-100</f>
        <v>1.7028838534193653</v>
      </c>
    </row>
    <row r="70" spans="1:11" ht="63.75">
      <c r="A70" s="99" t="s">
        <v>109</v>
      </c>
      <c r="B70" s="100" t="s">
        <v>108</v>
      </c>
      <c r="C70" s="100" t="s">
        <v>110</v>
      </c>
      <c r="D70" s="100" t="s">
        <v>111</v>
      </c>
      <c r="E70" s="101"/>
      <c r="F70" s="102"/>
      <c r="G70" s="9"/>
      <c r="K70" s="69"/>
    </row>
    <row r="71" spans="1:10" ht="12.75">
      <c r="A71" s="83"/>
      <c r="B71" s="10"/>
      <c r="C71" s="10"/>
      <c r="D71" s="10"/>
      <c r="E71" s="10"/>
      <c r="F71" s="10"/>
      <c r="G71" s="7"/>
      <c r="H71" s="67"/>
      <c r="I71" s="68"/>
      <c r="J71" s="67"/>
    </row>
    <row r="72" spans="1:12" ht="22.5">
      <c r="A72" s="167" t="s">
        <v>125</v>
      </c>
      <c r="B72" s="168"/>
      <c r="C72" s="168"/>
      <c r="D72" s="168"/>
      <c r="E72" s="168"/>
      <c r="F72" s="169"/>
      <c r="G72" s="7"/>
      <c r="H72" s="60"/>
      <c r="I72" s="60"/>
      <c r="J72" s="60"/>
      <c r="L72" s="56"/>
    </row>
    <row r="73" spans="1:12" ht="78" customHeight="1">
      <c r="A73" s="218" t="s">
        <v>157</v>
      </c>
      <c r="B73" s="215"/>
      <c r="C73" s="215"/>
      <c r="D73" s="215"/>
      <c r="E73" s="215"/>
      <c r="F73" s="216"/>
      <c r="G73" s="7"/>
      <c r="H73" s="60"/>
      <c r="I73" s="60"/>
      <c r="J73" s="60"/>
      <c r="L73" s="56"/>
    </row>
    <row r="74" spans="1:10" ht="12.75">
      <c r="A74" s="170"/>
      <c r="B74" s="34" t="s">
        <v>81</v>
      </c>
      <c r="C74" s="34" t="s">
        <v>82</v>
      </c>
      <c r="D74" s="11" t="s">
        <v>83</v>
      </c>
      <c r="E74" s="11" t="s">
        <v>84</v>
      </c>
      <c r="F74" s="132" t="s">
        <v>85</v>
      </c>
      <c r="G74" s="7"/>
      <c r="H74" s="67"/>
      <c r="I74" s="68"/>
      <c r="J74" s="67"/>
    </row>
    <row r="75" spans="1:10" ht="12.75">
      <c r="A75" s="170" t="s">
        <v>152</v>
      </c>
      <c r="B75" s="10">
        <f>E12*0.42+280+49</f>
        <v>952.6014068554099</v>
      </c>
      <c r="C75" s="10">
        <f>F12*0.42+280+49</f>
        <v>1086.1841666554099</v>
      </c>
      <c r="D75" s="10">
        <f>G12*0.42+280+49</f>
        <v>1208.56081405541</v>
      </c>
      <c r="E75" s="10">
        <f>H12*0.42+280+49</f>
        <v>1210.99119571541</v>
      </c>
      <c r="F75" s="171">
        <f>I12*0.42+280+49</f>
        <v>1237.9390387354097</v>
      </c>
      <c r="G75" s="7"/>
      <c r="H75" s="67"/>
      <c r="I75" s="68"/>
      <c r="J75" s="67"/>
    </row>
    <row r="76" spans="1:10" ht="22.5">
      <c r="A76" s="170" t="s">
        <v>153</v>
      </c>
      <c r="B76" s="211">
        <v>25</v>
      </c>
      <c r="C76" s="211">
        <v>50</v>
      </c>
      <c r="D76" s="211">
        <v>75</v>
      </c>
      <c r="E76" s="211">
        <v>90</v>
      </c>
      <c r="F76" s="212">
        <v>100</v>
      </c>
      <c r="G76" s="7"/>
      <c r="H76" s="67"/>
      <c r="I76" s="68"/>
      <c r="J76" s="67"/>
    </row>
    <row r="77" spans="1:10" ht="12.75">
      <c r="A77" s="170" t="s">
        <v>154</v>
      </c>
      <c r="B77" s="10">
        <f>B75*(B76/100)</f>
        <v>238.15035171385247</v>
      </c>
      <c r="C77" s="10">
        <f>C75*(C76/100)</f>
        <v>543.0920833277049</v>
      </c>
      <c r="D77" s="10">
        <f>D75*(D76/100)</f>
        <v>906.4206105415575</v>
      </c>
      <c r="E77" s="10">
        <f>E75*(E76/100)</f>
        <v>1089.892076143869</v>
      </c>
      <c r="F77" s="171">
        <f>F75*(F76/100)</f>
        <v>1237.9390387354097</v>
      </c>
      <c r="G77" s="7"/>
      <c r="H77" s="67"/>
      <c r="I77" s="68"/>
      <c r="J77" s="67"/>
    </row>
    <row r="78" spans="1:10" ht="12.75">
      <c r="A78" s="170" t="s">
        <v>140</v>
      </c>
      <c r="B78" s="211">
        <v>0</v>
      </c>
      <c r="C78" s="211">
        <v>0</v>
      </c>
      <c r="D78" s="211">
        <v>0</v>
      </c>
      <c r="E78" s="211">
        <v>0</v>
      </c>
      <c r="F78" s="212">
        <v>0</v>
      </c>
      <c r="G78" s="7"/>
      <c r="H78" s="67"/>
      <c r="I78" s="68"/>
      <c r="J78" s="67"/>
    </row>
    <row r="79" spans="1:10" ht="12.75">
      <c r="A79" s="173" t="s">
        <v>155</v>
      </c>
      <c r="B79" s="174">
        <f>B77*(B78/100)</f>
        <v>0</v>
      </c>
      <c r="C79" s="174">
        <f>C77*(C78/100)</f>
        <v>0</v>
      </c>
      <c r="D79" s="174">
        <f>D77*(D78/100)</f>
        <v>0</v>
      </c>
      <c r="E79" s="174">
        <f>E77*(E78/100)</f>
        <v>0</v>
      </c>
      <c r="F79" s="196">
        <f>F77*(F78/100)</f>
        <v>0</v>
      </c>
      <c r="G79" s="7"/>
      <c r="H79" s="67"/>
      <c r="I79" s="68"/>
      <c r="J79" s="67"/>
    </row>
    <row r="80" spans="1:7" ht="12.75">
      <c r="A80" s="81"/>
      <c r="B80" s="11"/>
      <c r="C80" s="11"/>
      <c r="D80" s="11"/>
      <c r="E80" s="11"/>
      <c r="F80" s="11"/>
      <c r="G80" s="7"/>
    </row>
    <row r="81" spans="1:7" ht="12.75">
      <c r="A81" s="138" t="s">
        <v>135</v>
      </c>
      <c r="B81" s="197"/>
      <c r="C81" s="197"/>
      <c r="D81" s="197"/>
      <c r="E81" s="197"/>
      <c r="F81" s="188"/>
      <c r="G81" s="7"/>
    </row>
    <row r="82" spans="1:10" ht="33" customHeight="1">
      <c r="A82" s="218" t="s">
        <v>158</v>
      </c>
      <c r="B82" s="215"/>
      <c r="C82" s="215"/>
      <c r="D82" s="215"/>
      <c r="E82" s="215"/>
      <c r="F82" s="216"/>
      <c r="G82" s="7"/>
      <c r="H82" s="67"/>
      <c r="I82" s="68"/>
      <c r="J82" s="67"/>
    </row>
    <row r="83" spans="1:10" ht="12.75">
      <c r="A83" s="170"/>
      <c r="B83" s="34" t="s">
        <v>81</v>
      </c>
      <c r="C83" s="34" t="s">
        <v>82</v>
      </c>
      <c r="D83" s="11" t="s">
        <v>83</v>
      </c>
      <c r="E83" s="11" t="s">
        <v>84</v>
      </c>
      <c r="F83" s="132" t="s">
        <v>85</v>
      </c>
      <c r="G83" s="7"/>
      <c r="H83" s="67"/>
      <c r="I83" s="68"/>
      <c r="J83" s="67"/>
    </row>
    <row r="84" spans="1:10" ht="12.75">
      <c r="A84" s="173" t="s">
        <v>127</v>
      </c>
      <c r="B84" s="199">
        <v>0</v>
      </c>
      <c r="C84" s="199">
        <v>0</v>
      </c>
      <c r="D84" s="199">
        <v>0</v>
      </c>
      <c r="E84" s="199">
        <v>0</v>
      </c>
      <c r="F84" s="200">
        <v>0</v>
      </c>
      <c r="G84" s="7"/>
      <c r="H84" s="67"/>
      <c r="I84" s="68"/>
      <c r="J84" s="67"/>
    </row>
    <row r="85" spans="1:7" ht="12.75">
      <c r="A85" s="81"/>
      <c r="B85" s="11"/>
      <c r="C85" s="11"/>
      <c r="D85" s="11"/>
      <c r="E85" s="11"/>
      <c r="F85" s="11"/>
      <c r="G85" s="7"/>
    </row>
    <row r="86" spans="1:7" ht="12.75">
      <c r="A86" s="202" t="s">
        <v>146</v>
      </c>
      <c r="B86" s="9"/>
      <c r="C86" s="9"/>
      <c r="D86" s="9"/>
      <c r="E86" s="40"/>
      <c r="F86" s="9"/>
      <c r="G86" s="9"/>
    </row>
    <row r="87" spans="1:13" s="77" customFormat="1" ht="12.75">
      <c r="A87" s="84" t="s">
        <v>147</v>
      </c>
      <c r="B87" s="78"/>
      <c r="C87" s="78"/>
      <c r="D87" s="78"/>
      <c r="E87" s="78"/>
      <c r="F87" s="78"/>
      <c r="G87" s="78"/>
      <c r="H87" s="79"/>
      <c r="I87" s="79"/>
      <c r="J87" s="79"/>
      <c r="K87" s="79"/>
      <c r="L87" s="79"/>
      <c r="M87" s="78"/>
    </row>
    <row r="88" spans="2:12" ht="12.75">
      <c r="B88" s="29"/>
      <c r="C88" s="29"/>
      <c r="D88" s="29"/>
      <c r="E88" s="29"/>
      <c r="F88" s="29"/>
      <c r="G88" s="29"/>
      <c r="H88" s="73"/>
      <c r="I88" s="73"/>
      <c r="J88" s="73"/>
      <c r="K88" s="74"/>
      <c r="L88" s="74"/>
    </row>
    <row r="89" spans="2:7" ht="12.75">
      <c r="B89" s="49"/>
      <c r="C89" s="49"/>
      <c r="D89" s="49"/>
      <c r="E89" s="50"/>
      <c r="F89" s="49"/>
      <c r="G89" s="44"/>
    </row>
    <row r="90" spans="2:6" ht="12.75">
      <c r="B90" s="47"/>
      <c r="C90" s="47"/>
      <c r="D90" s="47"/>
      <c r="E90" s="47"/>
      <c r="F90" s="47"/>
    </row>
    <row r="91" spans="1:12" s="47" customFormat="1" ht="11.25">
      <c r="A91" s="84"/>
      <c r="B91" s="51"/>
      <c r="C91" s="51"/>
      <c r="D91" s="51"/>
      <c r="E91" s="53"/>
      <c r="H91" s="66"/>
      <c r="I91" s="66"/>
      <c r="J91" s="66"/>
      <c r="K91" s="50"/>
      <c r="L91" s="49"/>
    </row>
  </sheetData>
  <mergeCells count="8">
    <mergeCell ref="A73:F73"/>
    <mergeCell ref="A82:F82"/>
    <mergeCell ref="A46:C46"/>
    <mergeCell ref="C60:F61"/>
    <mergeCell ref="A17:H17"/>
    <mergeCell ref="A27:F27"/>
    <mergeCell ref="A2:J2"/>
    <mergeCell ref="A37:C37"/>
  </mergeCells>
  <hyperlinks>
    <hyperlink ref="C60" r:id="rId1" display="http://www.hm-treasury.gov.uk/spending_review/spend_sr04/associated_documents/spending_sr04_science.cfm"/>
    <hyperlink ref="B60" r:id="rId2" display="http://www.ost.gov.uk/research/funding/budget03-06/dti-sciencebudgetbook.pdf"/>
    <hyperlink ref="B61" r:id="rId3" display="http://www.hefce.ac.uk/news/HEFCE/2003/GrantAnn.asp"/>
    <hyperlink ref="B70" r:id="rId4" display="http://www.hefce.ac.uk/news/HEFCE/2003/GrantAnn.asp"/>
    <hyperlink ref="C70" r:id="rId5" display="http://www.hefce.ac.uk/news/HEFCE/2004/grantann/"/>
    <hyperlink ref="D70" r:id="rId6" display="http://www.hefce.ac.uk/pubs/hefce/2005/05_13/"/>
  </hyperlinks>
  <printOptions/>
  <pageMargins left="0.75" right="0.75" top="1" bottom="1" header="0.5" footer="0.5"/>
  <pageSetup horizontalDpi="600" verticalDpi="600" orientation="portrait" paperSize="9" r:id="rId7"/>
</worksheet>
</file>

<file path=xl/worksheets/sheet2.xml><?xml version="1.0" encoding="utf-8"?>
<worksheet xmlns="http://schemas.openxmlformats.org/spreadsheetml/2006/main" xmlns:r="http://schemas.openxmlformats.org/officeDocument/2006/relationships">
  <dimension ref="A1:AP20"/>
  <sheetViews>
    <sheetView tabSelected="1" workbookViewId="0" topLeftCell="A4">
      <selection activeCell="G29" sqref="G29"/>
    </sheetView>
  </sheetViews>
  <sheetFormatPr defaultColWidth="9.140625" defaultRowHeight="12.75"/>
  <cols>
    <col min="1" max="1" width="40.7109375" style="84" customWidth="1"/>
    <col min="2" max="4" width="10.7109375" style="0" customWidth="1"/>
    <col min="5" max="5" width="10.7109375" style="41" customWidth="1"/>
    <col min="6" max="6" width="10.7109375" style="0" customWidth="1"/>
    <col min="7" max="7" width="11.140625" style="0" customWidth="1"/>
    <col min="8" max="8" width="10.7109375" style="66" customWidth="1"/>
    <col min="9" max="9" width="11.8515625" style="66" customWidth="1"/>
    <col min="10" max="10" width="9.57421875" style="66" bestFit="1" customWidth="1"/>
    <col min="11" max="11" width="8.00390625" style="72" bestFit="1" customWidth="1"/>
    <col min="12" max="12" width="10.140625" style="63" bestFit="1" customWidth="1"/>
  </cols>
  <sheetData>
    <row r="1" spans="1:42" s="3" customFormat="1" ht="11.25">
      <c r="A1" s="138" t="s">
        <v>120</v>
      </c>
      <c r="B1" s="139"/>
      <c r="C1" s="139"/>
      <c r="D1" s="139"/>
      <c r="E1" s="140"/>
      <c r="F1" s="139"/>
      <c r="G1" s="139"/>
      <c r="H1" s="141"/>
      <c r="I1" s="141"/>
      <c r="J1" s="142"/>
      <c r="K1" s="15"/>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s="3" customFormat="1" ht="29.25" customHeight="1">
      <c r="A2" s="218" t="s">
        <v>149</v>
      </c>
      <c r="B2" s="224"/>
      <c r="C2" s="224"/>
      <c r="D2" s="224"/>
      <c r="E2" s="224"/>
      <c r="F2" s="224"/>
      <c r="G2" s="224"/>
      <c r="H2" s="224"/>
      <c r="I2" s="224"/>
      <c r="J2" s="220"/>
      <c r="K2" s="15"/>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s="3" customFormat="1" ht="11.25">
      <c r="A3" s="161"/>
      <c r="E3" s="15"/>
      <c r="H3" s="64"/>
      <c r="I3" s="64"/>
      <c r="J3" s="166"/>
      <c r="K3" s="15"/>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s="11" customFormat="1" ht="11.25" customHeight="1">
      <c r="A4" s="131"/>
      <c r="B4" s="34" t="s">
        <v>38</v>
      </c>
      <c r="C4" s="34" t="s">
        <v>79</v>
      </c>
      <c r="D4" s="34" t="s">
        <v>80</v>
      </c>
      <c r="E4" s="34" t="s">
        <v>81</v>
      </c>
      <c r="F4" s="34" t="s">
        <v>82</v>
      </c>
      <c r="G4" s="11" t="s">
        <v>83</v>
      </c>
      <c r="H4" s="11" t="s">
        <v>84</v>
      </c>
      <c r="I4" s="11" t="s">
        <v>85</v>
      </c>
      <c r="J4" s="132" t="s">
        <v>117</v>
      </c>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row>
    <row r="5" spans="1:42" s="5" customFormat="1" ht="11.25" customHeight="1">
      <c r="A5" s="133" t="s">
        <v>86</v>
      </c>
      <c r="B5" s="69">
        <f>'The Model'!B5</f>
        <v>2265.702</v>
      </c>
      <c r="C5" s="69">
        <f>'The Model'!C5*B$20</f>
        <v>2340.6508275230876</v>
      </c>
      <c r="D5" s="69">
        <f>'The Model'!D5*C$20</f>
        <v>2555.308407126996</v>
      </c>
      <c r="E5" s="69">
        <f>'The Model'!E5*D$20</f>
        <v>2651.286575579292</v>
      </c>
      <c r="F5" s="69">
        <f>'The Model'!F5*E$20</f>
        <v>2772.7288782826768</v>
      </c>
      <c r="G5" s="69">
        <f>'The Model'!G5*F$20</f>
        <v>2900.27440668368</v>
      </c>
      <c r="H5" s="69">
        <f>'The Model'!H5*G$20</f>
        <v>3033.6870293911293</v>
      </c>
      <c r="I5" s="69">
        <f>'The Model'!I5*H$20</f>
        <v>3173.2366327431214</v>
      </c>
      <c r="J5" s="143">
        <f aca="true" t="shared" si="0" ref="J5:J12">I5-B5</f>
        <v>907.5346327431212</v>
      </c>
      <c r="K5" s="69"/>
      <c r="L5" s="44"/>
      <c r="M5" s="7"/>
      <c r="N5" s="7"/>
      <c r="O5" s="4"/>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s="5" customFormat="1" ht="11.25" customHeight="1">
      <c r="A6" s="127" t="s">
        <v>87</v>
      </c>
      <c r="B6" s="69">
        <f>'The Model'!B6</f>
        <v>4568.168</v>
      </c>
      <c r="C6" s="69">
        <f>'The Model'!C6*B$20</f>
        <v>4916.365051341369</v>
      </c>
      <c r="D6" s="69">
        <f>'The Model'!D6*C$20</f>
        <v>4987.4040483097315</v>
      </c>
      <c r="E6" s="69">
        <f>'The Model'!E6*D$20</f>
        <v>5128.614498824068</v>
      </c>
      <c r="F6" s="69">
        <f>'The Model'!F6*E$20</f>
        <v>5215.948847028667</v>
      </c>
      <c r="G6" s="69">
        <f>'The Model'!G6*F$20</f>
        <v>5268.108335498953</v>
      </c>
      <c r="H6" s="69">
        <f>'The Model'!H6*G$20</f>
        <v>5320.789418853943</v>
      </c>
      <c r="I6" s="69">
        <f>'The Model'!I6*H$20</f>
        <v>5373.997313042482</v>
      </c>
      <c r="J6" s="143">
        <f t="shared" si="0"/>
        <v>805.8293130424827</v>
      </c>
      <c r="K6" s="70"/>
      <c r="L6" s="42"/>
      <c r="M6" s="6"/>
      <c r="N6" s="6"/>
      <c r="O6" s="4"/>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s="5" customFormat="1" ht="11.25" customHeight="1">
      <c r="A7" s="127" t="s">
        <v>126</v>
      </c>
      <c r="B7" s="69">
        <f>'The Model'!B7</f>
        <v>0</v>
      </c>
      <c r="C7" s="69">
        <f>'The Model'!C7*B$20</f>
        <v>0</v>
      </c>
      <c r="D7" s="69">
        <f>'The Model'!D7*C$20</f>
        <v>0</v>
      </c>
      <c r="E7" s="69">
        <f>'The Model'!E7*D$20</f>
        <v>0</v>
      </c>
      <c r="F7" s="69">
        <f>'The Model'!F7*E$20</f>
        <v>0</v>
      </c>
      <c r="G7" s="69">
        <f>'The Model'!G7*F$20</f>
        <v>0</v>
      </c>
      <c r="H7" s="69">
        <f>'The Model'!H7*G$20</f>
        <v>0</v>
      </c>
      <c r="I7" s="69">
        <f>'The Model'!I7*H$20</f>
        <v>0</v>
      </c>
      <c r="J7" s="143" t="s">
        <v>129</v>
      </c>
      <c r="K7" s="70"/>
      <c r="L7" s="42"/>
      <c r="M7" s="6"/>
      <c r="N7" s="6"/>
      <c r="O7" s="4"/>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s="5" customFormat="1" ht="11.25" customHeight="1">
      <c r="A8" s="127" t="s">
        <v>132</v>
      </c>
      <c r="B8" s="69">
        <f>SUM(B5:B6)</f>
        <v>6833.87</v>
      </c>
      <c r="C8" s="69">
        <f>'The Model'!C8*B$20</f>
        <v>7257.015878864457</v>
      </c>
      <c r="D8" s="69">
        <f>'The Model'!D8*C$20</f>
        <v>7542.712455436727</v>
      </c>
      <c r="E8" s="69">
        <f>'The Model'!E8*D$20</f>
        <v>7779.901074403359</v>
      </c>
      <c r="F8" s="69">
        <f>'The Model'!F8*E$20</f>
        <v>7988.677725311343</v>
      </c>
      <c r="G8" s="69">
        <f>'The Model'!G8*F$20</f>
        <v>8168.382742182634</v>
      </c>
      <c r="H8" s="69">
        <f>'The Model'!H8*G$20</f>
        <v>8354.476448245072</v>
      </c>
      <c r="I8" s="69">
        <f>'The Model'!I8*H$20</f>
        <v>8547.233945785603</v>
      </c>
      <c r="J8" s="143">
        <f t="shared" si="0"/>
        <v>1713.3639457856034</v>
      </c>
      <c r="K8" s="70"/>
      <c r="L8" s="42"/>
      <c r="M8" s="6"/>
      <c r="N8" s="6"/>
      <c r="O8" s="4"/>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s="5" customFormat="1" ht="11.25" customHeight="1">
      <c r="A9" s="127" t="s">
        <v>133</v>
      </c>
      <c r="B9" s="69">
        <f>'The Model'!B9</f>
        <v>4845.317</v>
      </c>
      <c r="C9" s="69">
        <f>'The Model'!C9*B$20</f>
        <v>5102.118801</v>
      </c>
      <c r="D9" s="69">
        <f>'The Model'!D9*C$20</f>
        <v>5372.531097452999</v>
      </c>
      <c r="E9" s="69">
        <f>'The Model'!E9*D$20</f>
        <v>5657.275245618008</v>
      </c>
      <c r="F9" s="69">
        <f>'The Model'!F9*E$20</f>
        <v>5957.110833635762</v>
      </c>
      <c r="G9" s="69">
        <f>'The Model'!G9*F$20</f>
        <v>6272.837707818457</v>
      </c>
      <c r="H9" s="69">
        <f>'The Model'!H9*G$20</f>
        <v>6605.298106332834</v>
      </c>
      <c r="I9" s="69">
        <f>'The Model'!I9*H$20</f>
        <v>6955.378905968474</v>
      </c>
      <c r="J9" s="143">
        <f t="shared" si="0"/>
        <v>2110.061905968474</v>
      </c>
      <c r="K9" s="70"/>
      <c r="L9" s="42"/>
      <c r="M9" s="6"/>
      <c r="N9" s="6"/>
      <c r="O9" s="4"/>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s="5" customFormat="1" ht="17.25" customHeight="1">
      <c r="A10" s="127" t="s">
        <v>118</v>
      </c>
      <c r="B10" s="69">
        <f>'The Model'!B10</f>
        <v>1121.494</v>
      </c>
      <c r="C10" s="69">
        <f>'The Model'!C10*B$20</f>
        <v>1180.9331819999998</v>
      </c>
      <c r="D10" s="69">
        <f>'The Model'!D10*C$20</f>
        <v>1243.5226406459997</v>
      </c>
      <c r="E10" s="69">
        <f>'The Model'!E10*D$20</f>
        <v>1309.4293406002375</v>
      </c>
      <c r="F10" s="69">
        <f>'The Model'!F10*E$20</f>
        <v>1378.82909565205</v>
      </c>
      <c r="G10" s="69">
        <f>'The Model'!G10*F$20</f>
        <v>1451.9070377216085</v>
      </c>
      <c r="H10" s="69">
        <f>'The Model'!H10*G$20</f>
        <v>1528.8581107208536</v>
      </c>
      <c r="I10" s="69">
        <f>'The Model'!I10*H$20</f>
        <v>1609.8875905890586</v>
      </c>
      <c r="J10" s="143">
        <f t="shared" si="0"/>
        <v>488.3935905890587</v>
      </c>
      <c r="K10" s="70"/>
      <c r="L10" s="42"/>
      <c r="M10" s="6"/>
      <c r="N10" s="6"/>
      <c r="O10" s="4"/>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s="5" customFormat="1" ht="11.25" customHeight="1">
      <c r="A11" s="127" t="s">
        <v>134</v>
      </c>
      <c r="B11" s="69">
        <f>'The Model'!B12</f>
        <v>1089.95</v>
      </c>
      <c r="C11" s="69">
        <f>'The Model'!C12*B$20</f>
        <v>1112.2743566064096</v>
      </c>
      <c r="D11" s="69">
        <f>'The Model'!D12*C$20</f>
        <v>1143.2037144176427</v>
      </c>
      <c r="E11" s="69">
        <f>'The Model'!E12*D$20</f>
        <v>1484.7652544176426</v>
      </c>
      <c r="F11" s="69">
        <f>'The Model'!F12*E$20</f>
        <v>1802.8194444176427</v>
      </c>
      <c r="G11" s="69">
        <f>'The Model'!G12*F$20</f>
        <v>2094.192414417643</v>
      </c>
      <c r="H11" s="69">
        <f>'The Model'!H12*G$20</f>
        <v>2099.9790374176428</v>
      </c>
      <c r="I11" s="69">
        <f>'The Model'!I12*H$20</f>
        <v>2164.1405684176425</v>
      </c>
      <c r="J11" s="163">
        <f>I11-B11</f>
        <v>1074.1905684176425</v>
      </c>
      <c r="K11" s="70"/>
      <c r="L11" s="42"/>
      <c r="M11" s="6"/>
      <c r="N11" s="6"/>
      <c r="O11" s="4"/>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s="5" customFormat="1" ht="11.25" customHeight="1">
      <c r="A12" s="144" t="s">
        <v>72</v>
      </c>
      <c r="B12" s="145">
        <f aca="true" t="shared" si="1" ref="B12:I12">B8+B9+B10+B11</f>
        <v>13890.631000000001</v>
      </c>
      <c r="C12" s="145">
        <f t="shared" si="1"/>
        <v>14652.342218470865</v>
      </c>
      <c r="D12" s="145">
        <f t="shared" si="1"/>
        <v>15301.969907953368</v>
      </c>
      <c r="E12" s="145">
        <f t="shared" si="1"/>
        <v>16231.37091503925</v>
      </c>
      <c r="F12" s="145">
        <f t="shared" si="1"/>
        <v>17127.4370990168</v>
      </c>
      <c r="G12" s="145">
        <f t="shared" si="1"/>
        <v>17987.31990214034</v>
      </c>
      <c r="H12" s="145">
        <f t="shared" si="1"/>
        <v>18588.6117027164</v>
      </c>
      <c r="I12" s="145">
        <f t="shared" si="1"/>
        <v>19276.64101076078</v>
      </c>
      <c r="J12" s="146">
        <f t="shared" si="0"/>
        <v>5386.01001076078</v>
      </c>
      <c r="K12" s="86"/>
      <c r="L12" s="6"/>
      <c r="M12" s="6"/>
      <c r="N12" s="6"/>
      <c r="O12" s="4"/>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s="5" customFormat="1" ht="11.25" customHeight="1">
      <c r="A13" s="147" t="s">
        <v>116</v>
      </c>
      <c r="B13" s="148"/>
      <c r="C13" s="149">
        <f>C12/B12*100-100</f>
        <v>5.483632949942049</v>
      </c>
      <c r="D13" s="149">
        <f aca="true" t="shared" si="2" ref="D13:I13">D12/C12*100-100</f>
        <v>4.433609861115428</v>
      </c>
      <c r="E13" s="149">
        <f t="shared" si="2"/>
        <v>6.0737343797991485</v>
      </c>
      <c r="F13" s="149">
        <f t="shared" si="2"/>
        <v>5.520582264233113</v>
      </c>
      <c r="G13" s="149">
        <f t="shared" si="2"/>
        <v>5.020498969883263</v>
      </c>
      <c r="H13" s="149">
        <f t="shared" si="2"/>
        <v>3.34286488397035</v>
      </c>
      <c r="I13" s="149">
        <f t="shared" si="2"/>
        <v>3.7013485409662934</v>
      </c>
      <c r="J13" s="150">
        <f>J12/B12*100</f>
        <v>38.77440852586739</v>
      </c>
      <c r="K13" s="86"/>
      <c r="L13" s="6"/>
      <c r="M13" s="6"/>
      <c r="N13" s="6"/>
      <c r="O13" s="4"/>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s="5" customFormat="1" ht="11.25" customHeight="1">
      <c r="A14" s="19"/>
      <c r="B14" s="87"/>
      <c r="C14" s="87"/>
      <c r="D14" s="87"/>
      <c r="E14" s="87"/>
      <c r="F14" s="87"/>
      <c r="G14" s="87"/>
      <c r="H14" s="87"/>
      <c r="I14" s="87"/>
      <c r="J14" s="17"/>
      <c r="K14" s="86"/>
      <c r="L14" s="6"/>
      <c r="M14" s="6"/>
      <c r="N14" s="6"/>
      <c r="O14" s="4"/>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s="5" customFormat="1" ht="11.25" customHeight="1">
      <c r="A15" s="123" t="s">
        <v>148</v>
      </c>
      <c r="B15" s="203"/>
      <c r="C15" s="203"/>
      <c r="D15" s="203"/>
      <c r="E15" s="203"/>
      <c r="F15" s="203"/>
      <c r="G15" s="203"/>
      <c r="H15" s="204"/>
      <c r="I15" s="87"/>
      <c r="J15" s="17"/>
      <c r="K15" s="86"/>
      <c r="L15" s="6"/>
      <c r="M15" s="6"/>
      <c r="N15" s="6"/>
      <c r="O15" s="4"/>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s="5" customFormat="1" ht="26.25" customHeight="1">
      <c r="A16" s="214" t="s">
        <v>151</v>
      </c>
      <c r="B16" s="215"/>
      <c r="C16" s="215"/>
      <c r="D16" s="215"/>
      <c r="E16" s="215"/>
      <c r="F16" s="215"/>
      <c r="G16" s="215"/>
      <c r="H16" s="216"/>
      <c r="I16" s="87"/>
      <c r="J16" s="17"/>
      <c r="K16" s="86"/>
      <c r="L16" s="6"/>
      <c r="M16" s="6"/>
      <c r="N16" s="6"/>
      <c r="O16" s="4"/>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8" ht="12.75">
      <c r="A17" s="205"/>
      <c r="B17" s="34" t="s">
        <v>79</v>
      </c>
      <c r="C17" s="34" t="s">
        <v>80</v>
      </c>
      <c r="D17" s="34" t="s">
        <v>81</v>
      </c>
      <c r="E17" s="34" t="s">
        <v>82</v>
      </c>
      <c r="F17" s="11" t="s">
        <v>83</v>
      </c>
      <c r="G17" s="11" t="s">
        <v>84</v>
      </c>
      <c r="H17" s="132" t="s">
        <v>85</v>
      </c>
    </row>
    <row r="18" spans="1:8" ht="12.75">
      <c r="A18" s="205" t="s">
        <v>144</v>
      </c>
      <c r="B18" s="206">
        <v>0</v>
      </c>
      <c r="C18" s="206">
        <v>0</v>
      </c>
      <c r="D18" s="206">
        <v>0</v>
      </c>
      <c r="E18" s="206">
        <v>0</v>
      </c>
      <c r="F18" s="206">
        <v>0</v>
      </c>
      <c r="G18" s="206">
        <v>0</v>
      </c>
      <c r="H18" s="213">
        <v>0</v>
      </c>
    </row>
    <row r="19" spans="1:12" s="47" customFormat="1" ht="11.25">
      <c r="A19" s="205" t="s">
        <v>145</v>
      </c>
      <c r="B19" s="97">
        <f>100/(100+B18)</f>
        <v>1</v>
      </c>
      <c r="C19" s="97">
        <f aca="true" t="shared" si="3" ref="C19:H19">100/(100+C18)</f>
        <v>1</v>
      </c>
      <c r="D19" s="97">
        <f t="shared" si="3"/>
        <v>1</v>
      </c>
      <c r="E19" s="97">
        <f t="shared" si="3"/>
        <v>1</v>
      </c>
      <c r="F19" s="97">
        <f t="shared" si="3"/>
        <v>1</v>
      </c>
      <c r="G19" s="97">
        <f t="shared" si="3"/>
        <v>1</v>
      </c>
      <c r="H19" s="98">
        <f t="shared" si="3"/>
        <v>1</v>
      </c>
      <c r="I19" s="66"/>
      <c r="J19" s="66"/>
      <c r="K19" s="50"/>
      <c r="L19" s="49"/>
    </row>
    <row r="20" spans="1:8" ht="12.75">
      <c r="A20" s="207" t="s">
        <v>150</v>
      </c>
      <c r="B20" s="208">
        <f>B19</f>
        <v>1</v>
      </c>
      <c r="C20" s="208">
        <f>C19*B19</f>
        <v>1</v>
      </c>
      <c r="D20" s="208">
        <f>D19*C19*B19</f>
        <v>1</v>
      </c>
      <c r="E20" s="209">
        <f>E19*D19*C19*B19</f>
        <v>1</v>
      </c>
      <c r="F20" s="208">
        <f>F19*E19*D19*C19*B19</f>
        <v>1</v>
      </c>
      <c r="G20" s="208">
        <f>G19*F19*E19*D19*C19*B19</f>
        <v>1</v>
      </c>
      <c r="H20" s="210">
        <f>H19*G19*F19*E19*D19*C19*B19</f>
        <v>1</v>
      </c>
    </row>
  </sheetData>
  <mergeCells count="2">
    <mergeCell ref="A2:J2"/>
    <mergeCell ref="A16:H1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80"/>
  <sheetViews>
    <sheetView workbookViewId="0" topLeftCell="A1">
      <pane xSplit="1" ySplit="2" topLeftCell="B54" activePane="bottomRight" state="frozen"/>
      <selection pane="topLeft" activeCell="A1" sqref="A1"/>
      <selection pane="topRight" activeCell="B1" sqref="B1"/>
      <selection pane="bottomLeft" activeCell="A3" sqref="A3"/>
      <selection pane="bottomRight" activeCell="H82" sqref="H82"/>
    </sheetView>
  </sheetViews>
  <sheetFormatPr defaultColWidth="9.140625" defaultRowHeight="12.75"/>
  <cols>
    <col min="1" max="1" width="49.140625" style="0" bestFit="1" customWidth="1"/>
    <col min="2" max="4" width="10.7109375" style="0" customWidth="1"/>
    <col min="5" max="5" width="10.7109375" style="41" customWidth="1"/>
    <col min="6" max="6" width="10.7109375" style="0" customWidth="1"/>
    <col min="7" max="7" width="11.57421875" style="0" bestFit="1" customWidth="1"/>
    <col min="8" max="8" width="12.57421875" style="0" customWidth="1"/>
  </cols>
  <sheetData>
    <row r="1" spans="5:39" s="3" customFormat="1" ht="11.25">
      <c r="E1" s="15"/>
      <c r="M1" s="2"/>
      <c r="N1" s="2"/>
      <c r="O1" s="2"/>
      <c r="P1" s="2"/>
      <c r="Q1" s="2"/>
      <c r="R1" s="2"/>
      <c r="S1" s="2"/>
      <c r="T1" s="2"/>
      <c r="U1" s="2"/>
      <c r="V1" s="2"/>
      <c r="W1" s="2"/>
      <c r="X1" s="2"/>
      <c r="Y1" s="2"/>
      <c r="Z1" s="2"/>
      <c r="AA1" s="2"/>
      <c r="AB1" s="2"/>
      <c r="AC1" s="2"/>
      <c r="AD1" s="2"/>
      <c r="AE1" s="2"/>
      <c r="AF1" s="2"/>
      <c r="AG1" s="2"/>
      <c r="AH1" s="2"/>
      <c r="AI1" s="2"/>
      <c r="AJ1" s="2"/>
      <c r="AK1" s="2"/>
      <c r="AL1" s="2"/>
      <c r="AM1" s="2"/>
    </row>
    <row r="2" spans="1:39" s="5" customFormat="1" ht="33" customHeight="1">
      <c r="A2" s="8"/>
      <c r="B2" s="8" t="s">
        <v>45</v>
      </c>
      <c r="C2" s="8" t="s">
        <v>44</v>
      </c>
      <c r="D2" s="8" t="s">
        <v>42</v>
      </c>
      <c r="E2" s="34" t="s">
        <v>39</v>
      </c>
      <c r="F2" s="34" t="s">
        <v>49</v>
      </c>
      <c r="G2" s="11" t="s">
        <v>38</v>
      </c>
      <c r="H2" s="191" t="s">
        <v>124</v>
      </c>
      <c r="M2" s="1"/>
      <c r="N2" s="1"/>
      <c r="O2" s="1"/>
      <c r="P2" s="1"/>
      <c r="Q2" s="1"/>
      <c r="R2" s="1"/>
      <c r="S2" s="1"/>
      <c r="T2" s="1"/>
      <c r="U2" s="1"/>
      <c r="V2" s="1"/>
      <c r="W2" s="1"/>
      <c r="X2" s="1"/>
      <c r="Y2" s="1"/>
      <c r="Z2" s="1"/>
      <c r="AA2" s="1"/>
      <c r="AB2" s="1"/>
      <c r="AC2" s="1"/>
      <c r="AD2" s="1"/>
      <c r="AE2" s="1"/>
      <c r="AF2" s="1"/>
      <c r="AG2" s="1"/>
      <c r="AH2" s="1"/>
      <c r="AI2" s="1"/>
      <c r="AJ2" s="1"/>
      <c r="AK2" s="1"/>
      <c r="AL2" s="1"/>
      <c r="AM2" s="1"/>
    </row>
    <row r="3" spans="1:39" s="5" customFormat="1" ht="11.25" customHeight="1">
      <c r="A3" s="18" t="s">
        <v>36</v>
      </c>
      <c r="B3" s="18"/>
      <c r="C3" s="18"/>
      <c r="D3" s="18"/>
      <c r="E3" s="35"/>
      <c r="F3" s="18"/>
      <c r="G3" s="17"/>
      <c r="H3" s="7"/>
      <c r="I3" s="7"/>
      <c r="J3" s="7"/>
      <c r="K3" s="7"/>
      <c r="L3" s="4"/>
      <c r="M3" s="1"/>
      <c r="N3" s="1"/>
      <c r="O3" s="1"/>
      <c r="P3" s="1"/>
      <c r="Q3" s="1"/>
      <c r="R3" s="1"/>
      <c r="S3" s="1"/>
      <c r="T3" s="1"/>
      <c r="U3" s="1"/>
      <c r="V3" s="1"/>
      <c r="W3" s="1"/>
      <c r="X3" s="1"/>
      <c r="Y3" s="1"/>
      <c r="Z3" s="1"/>
      <c r="AA3" s="1"/>
      <c r="AB3" s="1"/>
      <c r="AC3" s="1"/>
      <c r="AD3" s="1"/>
      <c r="AE3" s="1"/>
      <c r="AF3" s="1"/>
      <c r="AG3" s="1"/>
      <c r="AH3" s="1"/>
      <c r="AI3" s="1"/>
      <c r="AJ3" s="1"/>
      <c r="AK3" s="1"/>
      <c r="AL3" s="1"/>
      <c r="AM3" s="1"/>
    </row>
    <row r="4" spans="1:39" s="5" customFormat="1" ht="11.25" customHeight="1">
      <c r="A4" s="19" t="s">
        <v>2</v>
      </c>
      <c r="B4" s="19"/>
      <c r="C4" s="19"/>
      <c r="D4" s="19"/>
      <c r="E4" s="31"/>
      <c r="F4" s="19"/>
      <c r="G4" s="19"/>
      <c r="H4" s="6"/>
      <c r="I4" s="6"/>
      <c r="J4" s="6"/>
      <c r="K4" s="6"/>
      <c r="L4" s="4"/>
      <c r="M4" s="1"/>
      <c r="N4" s="1"/>
      <c r="O4" s="1"/>
      <c r="P4" s="1"/>
      <c r="Q4" s="1"/>
      <c r="R4" s="1"/>
      <c r="S4" s="1"/>
      <c r="T4" s="1"/>
      <c r="U4" s="1"/>
      <c r="V4" s="1"/>
      <c r="W4" s="1"/>
      <c r="X4" s="1"/>
      <c r="Y4" s="1"/>
      <c r="Z4" s="1"/>
      <c r="AA4" s="1"/>
      <c r="AB4" s="1"/>
      <c r="AC4" s="1"/>
      <c r="AD4" s="1"/>
      <c r="AE4" s="1"/>
      <c r="AF4" s="1"/>
      <c r="AG4" s="1"/>
      <c r="AH4" s="1"/>
      <c r="AI4" s="1"/>
      <c r="AJ4" s="1"/>
      <c r="AK4" s="1"/>
      <c r="AL4" s="1"/>
      <c r="AM4" s="1"/>
    </row>
    <row r="5" spans="1:39" s="5" customFormat="1" ht="11.25" customHeight="1">
      <c r="A5" s="21" t="s">
        <v>3</v>
      </c>
      <c r="B5" s="227">
        <f>'98-04 (cash)'!B5:B7*'98-04 (cash)'!B$62</f>
        <v>4144197.9431641186</v>
      </c>
      <c r="C5" s="227">
        <f>'98-04 (cash)'!C5:C7*'98-04 (cash)'!C$62</f>
        <v>4297913.511346563</v>
      </c>
      <c r="D5" s="227">
        <f>'98-04 (cash)'!D5:D7*'98-04 (cash)'!D$62</f>
        <v>4426198.302105214</v>
      </c>
      <c r="E5" s="227">
        <f>'98-04 (cash)'!E5:E7*'98-04 (cash)'!E$62</f>
        <v>4588056.515951999</v>
      </c>
      <c r="F5" s="21">
        <f>'98-04 (cash)'!F5*'98-04 (cash)'!F$62</f>
        <v>3410485.701</v>
      </c>
      <c r="G5" s="43">
        <f>'98-04 (cash)'!G5</f>
        <v>3501575</v>
      </c>
      <c r="H5" s="6"/>
      <c r="I5" s="6"/>
      <c r="J5" s="6"/>
      <c r="K5" s="6"/>
      <c r="L5" s="4"/>
      <c r="M5" s="1"/>
      <c r="N5" s="1"/>
      <c r="O5" s="1"/>
      <c r="P5" s="1"/>
      <c r="Q5" s="1"/>
      <c r="R5" s="1"/>
      <c r="S5" s="1"/>
      <c r="T5" s="1"/>
      <c r="U5" s="1"/>
      <c r="V5" s="1"/>
      <c r="W5" s="1"/>
      <c r="X5" s="1"/>
      <c r="Y5" s="1"/>
      <c r="Z5" s="1"/>
      <c r="AA5" s="1"/>
      <c r="AB5" s="1"/>
      <c r="AC5" s="1"/>
      <c r="AD5" s="1"/>
      <c r="AE5" s="1"/>
      <c r="AF5" s="1"/>
      <c r="AG5" s="1"/>
      <c r="AH5" s="1"/>
      <c r="AI5" s="1"/>
      <c r="AJ5" s="1"/>
      <c r="AK5" s="1"/>
      <c r="AL5" s="1"/>
      <c r="AM5" s="1"/>
    </row>
    <row r="6" spans="1:39" s="5" customFormat="1" ht="11.25" customHeight="1">
      <c r="A6" s="21" t="s">
        <v>4</v>
      </c>
      <c r="B6" s="227"/>
      <c r="C6" s="227"/>
      <c r="D6" s="227"/>
      <c r="E6" s="227"/>
      <c r="F6" s="21">
        <f>'98-04 (cash)'!F6*'98-04 (cash)'!F$62</f>
        <v>967983.3869999999</v>
      </c>
      <c r="G6" s="43">
        <f>'98-04 (cash)'!G6</f>
        <v>1037044</v>
      </c>
      <c r="H6" s="6"/>
      <c r="I6" s="6"/>
      <c r="J6" s="6"/>
      <c r="K6" s="6"/>
      <c r="L6" s="4"/>
      <c r="M6" s="1"/>
      <c r="N6" s="1"/>
      <c r="O6" s="1"/>
      <c r="P6" s="1"/>
      <c r="Q6" s="1"/>
      <c r="R6" s="1"/>
      <c r="S6" s="1"/>
      <c r="T6" s="1"/>
      <c r="U6" s="1"/>
      <c r="V6" s="1"/>
      <c r="W6" s="1"/>
      <c r="X6" s="1"/>
      <c r="Y6" s="1"/>
      <c r="Z6" s="1"/>
      <c r="AA6" s="1"/>
      <c r="AB6" s="1"/>
      <c r="AC6" s="1"/>
      <c r="AD6" s="1"/>
      <c r="AE6" s="1"/>
      <c r="AF6" s="1"/>
      <c r="AG6" s="1"/>
      <c r="AH6" s="1"/>
      <c r="AI6" s="1"/>
      <c r="AJ6" s="1"/>
      <c r="AK6" s="1"/>
      <c r="AL6" s="1"/>
      <c r="AM6" s="1"/>
    </row>
    <row r="7" spans="1:39" s="5" customFormat="1" ht="11.25" customHeight="1">
      <c r="A7" s="21" t="s">
        <v>5</v>
      </c>
      <c r="B7" s="228"/>
      <c r="C7" s="228"/>
      <c r="D7" s="228"/>
      <c r="E7" s="228"/>
      <c r="F7" s="21">
        <f>'98-04 (cash)'!F7*'98-04 (cash)'!F$62</f>
        <v>408378.20099999994</v>
      </c>
      <c r="G7" s="43">
        <f>'98-04 (cash)'!G7</f>
        <v>490721</v>
      </c>
      <c r="H7" s="6"/>
      <c r="I7" s="6"/>
      <c r="J7" s="6"/>
      <c r="K7" s="6"/>
      <c r="L7" s="4"/>
      <c r="M7" s="1"/>
      <c r="N7" s="1"/>
      <c r="O7" s="1"/>
      <c r="P7" s="1"/>
      <c r="Q7" s="1"/>
      <c r="R7" s="1"/>
      <c r="S7" s="1"/>
      <c r="T7" s="1"/>
      <c r="U7" s="1"/>
      <c r="V7" s="1"/>
      <c r="W7" s="1"/>
      <c r="X7" s="1"/>
      <c r="Y7" s="1"/>
      <c r="Z7" s="1"/>
      <c r="AA7" s="1"/>
      <c r="AB7" s="1"/>
      <c r="AC7" s="1"/>
      <c r="AD7" s="1"/>
      <c r="AE7" s="1"/>
      <c r="AF7" s="1"/>
      <c r="AG7" s="1"/>
      <c r="AH7" s="1"/>
      <c r="AI7" s="1"/>
      <c r="AJ7" s="1"/>
      <c r="AK7" s="1"/>
      <c r="AL7" s="1"/>
      <c r="AM7" s="1"/>
    </row>
    <row r="8" spans="1:39" s="5" customFormat="1" ht="11.25" customHeight="1">
      <c r="A8" s="21" t="s">
        <v>6</v>
      </c>
      <c r="B8" s="21">
        <f>'98-04 (cash)'!B8*'98-04 (cash)'!B$62</f>
        <v>169983.03733913737</v>
      </c>
      <c r="C8" s="21">
        <f>'98-04 (cash)'!C8*'98-04 (cash)'!C$62</f>
        <v>161024.31007166317</v>
      </c>
      <c r="D8" s="21">
        <f>'98-04 (cash)'!D8*'98-04 (cash)'!D$62</f>
        <v>81618.23693696398</v>
      </c>
      <c r="E8" s="21">
        <f>'98-04 (cash)'!E8*'98-04 (cash)'!E$62</f>
        <v>86762.33911799999</v>
      </c>
      <c r="F8" s="21">
        <f>'98-04 (cash)'!F8*'98-04 (cash)'!F$62</f>
        <v>105865.578</v>
      </c>
      <c r="G8" s="43">
        <f>'98-04 (cash)'!G8</f>
        <v>128250</v>
      </c>
      <c r="H8" s="6"/>
      <c r="I8" s="6"/>
      <c r="J8" s="6"/>
      <c r="K8" s="6"/>
      <c r="L8" s="4"/>
      <c r="M8" s="1"/>
      <c r="N8" s="1"/>
      <c r="O8" s="1"/>
      <c r="P8" s="1"/>
      <c r="Q8" s="1"/>
      <c r="R8" s="1"/>
      <c r="S8" s="1"/>
      <c r="T8" s="1"/>
      <c r="U8" s="1"/>
      <c r="V8" s="1"/>
      <c r="W8" s="1"/>
      <c r="X8" s="1"/>
      <c r="Y8" s="1"/>
      <c r="Z8" s="1"/>
      <c r="AA8" s="1"/>
      <c r="AB8" s="1"/>
      <c r="AC8" s="1"/>
      <c r="AD8" s="1"/>
      <c r="AE8" s="1"/>
      <c r="AF8" s="1"/>
      <c r="AG8" s="1"/>
      <c r="AH8" s="1"/>
      <c r="AI8" s="1"/>
      <c r="AJ8" s="1"/>
      <c r="AK8" s="1"/>
      <c r="AL8" s="1"/>
      <c r="AM8" s="1"/>
    </row>
    <row r="9" spans="1:39" s="5" customFormat="1" ht="11.25" customHeight="1">
      <c r="A9" s="21" t="s">
        <v>7</v>
      </c>
      <c r="B9" s="21">
        <f>'98-04 (cash)'!B9*'98-04 (cash)'!B$62</f>
        <v>68019.61739661946</v>
      </c>
      <c r="C9" s="21">
        <f>'98-04 (cash)'!C9*'98-04 (cash)'!C$62</f>
        <v>70201.59121878081</v>
      </c>
      <c r="D9" s="21">
        <f>'98-04 (cash)'!D9*'98-04 (cash)'!D$62</f>
        <v>72926.31124232998</v>
      </c>
      <c r="E9" s="21">
        <f>'98-04 (cash)'!E9*'98-04 (cash)'!E$62</f>
        <v>73569.513654</v>
      </c>
      <c r="F9" s="21">
        <f>'98-04 (cash)'!F9*'98-04 (cash)'!F$62</f>
        <v>85154.89499999999</v>
      </c>
      <c r="G9" s="43">
        <f>'98-04 (cash)'!G9</f>
        <v>85817</v>
      </c>
      <c r="H9" s="6"/>
      <c r="I9" s="6"/>
      <c r="J9" s="6"/>
      <c r="K9" s="6"/>
      <c r="L9" s="4"/>
      <c r="M9" s="1"/>
      <c r="N9" s="1"/>
      <c r="O9" s="1"/>
      <c r="P9" s="1"/>
      <c r="Q9" s="1"/>
      <c r="R9" s="1"/>
      <c r="S9" s="1"/>
      <c r="T9" s="1"/>
      <c r="U9" s="1"/>
      <c r="V9" s="1"/>
      <c r="W9" s="1"/>
      <c r="X9" s="1"/>
      <c r="Y9" s="1"/>
      <c r="Z9" s="1"/>
      <c r="AA9" s="1"/>
      <c r="AB9" s="1"/>
      <c r="AC9" s="1"/>
      <c r="AD9" s="1"/>
      <c r="AE9" s="1"/>
      <c r="AF9" s="1"/>
      <c r="AG9" s="1"/>
      <c r="AH9" s="1"/>
      <c r="AI9" s="1"/>
      <c r="AJ9" s="1"/>
      <c r="AK9" s="1"/>
      <c r="AL9" s="1"/>
      <c r="AM9" s="1"/>
    </row>
    <row r="10" spans="1:39" s="5" customFormat="1" ht="11.25" customHeight="1">
      <c r="A10" s="20" t="s">
        <v>8</v>
      </c>
      <c r="B10" s="31">
        <f>'98-04 (cash)'!B10*'98-04 (cash)'!B$62</f>
        <v>4382200.597899876</v>
      </c>
      <c r="C10" s="31">
        <f>'98-04 (cash)'!C10*'98-04 (cash)'!C$62</f>
        <v>4529139.4126370065</v>
      </c>
      <c r="D10" s="31">
        <f>'98-04 (cash)'!D10*'98-04 (cash)'!D$62</f>
        <v>4580742.850284508</v>
      </c>
      <c r="E10" s="31">
        <f>'98-04 (cash)'!E10*'98-04 (cash)'!E$62</f>
        <v>4748388.368723999</v>
      </c>
      <c r="F10" s="31">
        <f>'98-04 (cash)'!F10*'98-04 (cash)'!F$62</f>
        <v>4977867.761999999</v>
      </c>
      <c r="G10" s="4">
        <f>'98-04 (cash)'!G10</f>
        <v>5243407</v>
      </c>
      <c r="H10" s="6"/>
      <c r="I10" s="6"/>
      <c r="J10" s="6"/>
      <c r="K10" s="6"/>
      <c r="L10" s="4"/>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s="5" customFormat="1" ht="12.75">
      <c r="A11" s="23" t="s">
        <v>0</v>
      </c>
      <c r="B11" s="21"/>
      <c r="C11" s="21"/>
      <c r="D11" s="21"/>
      <c r="E11" s="21"/>
      <c r="F11" s="21"/>
      <c r="G11" s="43"/>
      <c r="H11" s="6"/>
      <c r="I11" s="6"/>
      <c r="J11" s="6"/>
      <c r="K11" s="6"/>
      <c r="L11" s="4"/>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s="5" customFormat="1" ht="11.25" customHeight="1">
      <c r="A12" s="24" t="s">
        <v>1</v>
      </c>
      <c r="B12" s="21"/>
      <c r="C12" s="21"/>
      <c r="D12" s="21"/>
      <c r="E12" s="21"/>
      <c r="F12" s="21"/>
      <c r="G12" s="43"/>
      <c r="H12" s="6"/>
      <c r="I12" s="6"/>
      <c r="J12" s="6"/>
      <c r="K12" s="6"/>
      <c r="L12" s="4"/>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s="5" customFormat="1" ht="11.25" customHeight="1">
      <c r="A13" s="16" t="s">
        <v>37</v>
      </c>
      <c r="B13" s="21"/>
      <c r="C13" s="21"/>
      <c r="D13" s="21"/>
      <c r="E13" s="21"/>
      <c r="F13" s="21"/>
      <c r="G13" s="43"/>
      <c r="H13" s="6"/>
      <c r="I13" s="6"/>
      <c r="J13" s="6"/>
      <c r="K13" s="6"/>
      <c r="L13" s="4"/>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s="5" customFormat="1" ht="11.25" customHeight="1">
      <c r="A14" s="21" t="s">
        <v>9</v>
      </c>
      <c r="B14" s="21">
        <f>'98-04 (cash)'!B14*'98-04 (cash)'!B$62</f>
        <v>1012122.8102154831</v>
      </c>
      <c r="C14" s="21">
        <f>'98-04 (cash)'!C14*'98-04 (cash)'!C$62</f>
        <v>1025880.5258518305</v>
      </c>
      <c r="D14" s="21">
        <f>'98-04 (cash)'!D14*'98-04 (cash)'!D$62</f>
        <v>1027474.2515239016</v>
      </c>
      <c r="E14" s="21">
        <f>'98-04 (cash)'!E14*'98-04 (cash)'!E$62</f>
        <v>1037620.3137299998</v>
      </c>
      <c r="F14" s="21">
        <f>'98-04 (cash)'!F14*'98-04 (cash)'!F$62</f>
        <v>1071349.524</v>
      </c>
      <c r="G14" s="43">
        <f>'98-04 (cash)'!G14</f>
        <v>1089950</v>
      </c>
      <c r="H14" s="6"/>
      <c r="I14" s="6"/>
      <c r="J14" s="6"/>
      <c r="K14" s="6"/>
      <c r="L14" s="4"/>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row>
    <row r="15" spans="1:7" s="9" customFormat="1" ht="12.75">
      <c r="A15" s="21" t="s">
        <v>10</v>
      </c>
      <c r="B15" s="21">
        <f>'98-04 (cash)'!B15*'98-04 (cash)'!B$62</f>
        <v>319391.0140266381</v>
      </c>
      <c r="C15" s="21">
        <f>'98-04 (cash)'!C15*'98-04 (cash)'!C$62</f>
        <v>374724.502291077</v>
      </c>
      <c r="D15" s="21">
        <f>'98-04 (cash)'!D15*'98-04 (cash)'!D$62</f>
        <v>405347.99205536983</v>
      </c>
      <c r="E15" s="21">
        <f>'98-04 (cash)'!E15*'98-04 (cash)'!E$62</f>
        <v>459339.6667859999</v>
      </c>
      <c r="F15" s="21">
        <f>'98-04 (cash)'!F15*'98-04 (cash)'!F$62</f>
        <v>534420.411</v>
      </c>
      <c r="G15" s="43">
        <f>'98-04 (cash)'!G15</f>
        <v>567254</v>
      </c>
    </row>
    <row r="16" spans="1:15" s="9" customFormat="1" ht="12.75">
      <c r="A16" s="25" t="s">
        <v>11</v>
      </c>
      <c r="B16" s="21">
        <f>'98-04 (cash)'!B16*'98-04 (cash)'!B$62</f>
        <v>341767.65436761844</v>
      </c>
      <c r="C16" s="21">
        <f>'98-04 (cash)'!C16*'98-04 (cash)'!C$62</f>
        <v>363445.5914758304</v>
      </c>
      <c r="D16" s="21">
        <f>'98-04 (cash)'!D16*'98-04 (cash)'!D$62</f>
        <v>363437.3352650039</v>
      </c>
      <c r="E16" s="21">
        <f>'98-04 (cash)'!E16*'98-04 (cash)'!E$62</f>
        <v>378762.6384359999</v>
      </c>
      <c r="F16" s="21">
        <f>'98-04 (cash)'!F16*'98-04 (cash)'!F$62</f>
        <v>396795.77699999994</v>
      </c>
      <c r="G16" s="43">
        <f>'98-04 (cash)'!G16</f>
        <v>395728</v>
      </c>
      <c r="H16" s="28"/>
      <c r="I16" s="28"/>
      <c r="J16" s="28"/>
      <c r="K16" s="28"/>
      <c r="L16" s="28"/>
      <c r="M16" s="28"/>
      <c r="N16" s="28"/>
      <c r="O16" s="28"/>
    </row>
    <row r="17" spans="1:7" s="9" customFormat="1" ht="12.75">
      <c r="A17" s="25" t="s">
        <v>12</v>
      </c>
      <c r="B17" s="21">
        <f>'98-04 (cash)'!B17*'98-04 (cash)'!B$62</f>
        <v>612973.0677869082</v>
      </c>
      <c r="C17" s="21">
        <f>'98-04 (cash)'!C17*'98-04 (cash)'!C$62</f>
        <v>639806.8870141929</v>
      </c>
      <c r="D17" s="21">
        <f>'98-04 (cash)'!D17*'98-04 (cash)'!D$62</f>
        <v>691365.5067533758</v>
      </c>
      <c r="E17" s="21">
        <f>'98-04 (cash)'!E17*'98-04 (cash)'!E$62</f>
        <v>796585.1804819999</v>
      </c>
      <c r="F17" s="21">
        <f>'98-04 (cash)'!F17*'98-04 (cash)'!F$62</f>
        <v>978095.3699999999</v>
      </c>
      <c r="G17" s="43">
        <f>'98-04 (cash)'!G17</f>
        <v>1121494</v>
      </c>
    </row>
    <row r="18" spans="1:7" s="9" customFormat="1" ht="12.75">
      <c r="A18" s="26" t="s">
        <v>13</v>
      </c>
      <c r="B18" s="21">
        <f>'98-04 (cash)'!B18*'98-04 (cash)'!B$62</f>
        <v>227440.56100284948</v>
      </c>
      <c r="C18" s="21">
        <f>'98-04 (cash)'!C18*'98-04 (cash)'!C$62</f>
        <v>215844.27157859196</v>
      </c>
      <c r="D18" s="21">
        <f>'98-04 (cash)'!D18*'98-04 (cash)'!D$62</f>
        <v>222919.82295055193</v>
      </c>
      <c r="E18" s="21">
        <f>'98-04 (cash)'!E18*'98-04 (cash)'!E$62</f>
        <v>228781.37318399997</v>
      </c>
      <c r="F18" s="21">
        <f>'98-04 (cash)'!F18*'98-04 (cash)'!F$62</f>
        <v>242069.16299999997</v>
      </c>
      <c r="G18" s="43">
        <f>'98-04 (cash)'!G18</f>
        <v>249629</v>
      </c>
    </row>
    <row r="19" spans="1:7" s="9" customFormat="1" ht="12.75">
      <c r="A19" s="25" t="s">
        <v>14</v>
      </c>
      <c r="B19" s="21">
        <f>'98-04 (cash)'!B19*'98-04 (cash)'!B$62</f>
        <v>42208.438436052806</v>
      </c>
      <c r="C19" s="21">
        <f>'98-04 (cash)'!C19*'98-04 (cash)'!C$62</f>
        <v>58129.34909509726</v>
      </c>
      <c r="D19" s="21">
        <f>'98-04 (cash)'!D19*'98-04 (cash)'!D$62</f>
        <v>47951.00716278598</v>
      </c>
      <c r="E19" s="21">
        <f>'98-04 (cash)'!E19*'98-04 (cash)'!E$62</f>
        <v>49364.581265999994</v>
      </c>
      <c r="F19" s="21">
        <f>'98-04 (cash)'!F19*'98-04 (cash)'!F$62</f>
        <v>56766.84299999999</v>
      </c>
      <c r="G19" s="43">
        <f>'98-04 (cash)'!G19</f>
        <v>58035</v>
      </c>
    </row>
    <row r="20" spans="1:7" s="9" customFormat="1" ht="12.75">
      <c r="A20" s="27" t="s">
        <v>8</v>
      </c>
      <c r="B20" s="31">
        <f>'98-04 (cash)'!B20*'98-04 (cash)'!B$62</f>
        <v>2555903.54583555</v>
      </c>
      <c r="C20" s="31">
        <f>'98-04 (cash)'!C20*'98-04 (cash)'!C$62</f>
        <v>2677831.12730662</v>
      </c>
      <c r="D20" s="31">
        <f>'98-04 (cash)'!D20*'98-04 (cash)'!D$62</f>
        <v>2758495.915710989</v>
      </c>
      <c r="E20" s="31">
        <f>'98-04 (cash)'!E20*'98-04 (cash)'!E$62</f>
        <v>2950453.7538839993</v>
      </c>
      <c r="F20" s="31">
        <f>'98-04 (cash)'!F20*'98-04 (cash)'!F$62</f>
        <v>3279497.0879999995</v>
      </c>
      <c r="G20" s="4">
        <f>'98-04 (cash)'!G20</f>
        <v>3482090</v>
      </c>
    </row>
    <row r="21" spans="1:7" s="9" customFormat="1" ht="12.75">
      <c r="A21" s="21"/>
      <c r="B21" s="21"/>
      <c r="C21" s="21"/>
      <c r="D21" s="21"/>
      <c r="E21" s="21"/>
      <c r="F21" s="21"/>
      <c r="G21" s="43"/>
    </row>
    <row r="22" spans="1:15" ht="12.75">
      <c r="A22" s="12" t="s">
        <v>16</v>
      </c>
      <c r="B22" s="21"/>
      <c r="C22" s="21"/>
      <c r="D22" s="21"/>
      <c r="E22" s="21"/>
      <c r="F22" s="21"/>
      <c r="G22" s="43"/>
      <c r="H22" s="4"/>
      <c r="I22" s="4"/>
      <c r="J22" s="4"/>
      <c r="K22" s="4"/>
      <c r="L22" s="4"/>
      <c r="M22" s="4"/>
      <c r="N22" s="4"/>
      <c r="O22" s="4"/>
    </row>
    <row r="23" spans="1:15" ht="12.75">
      <c r="A23" s="10" t="s">
        <v>24</v>
      </c>
      <c r="B23" s="21">
        <f>'98-04 (cash)'!B23*'98-04 (cash)'!B$62</f>
        <v>12764.147725116261</v>
      </c>
      <c r="C23" s="21">
        <f>'98-04 (cash)'!C23*'98-04 (cash)'!C$62</f>
        <v>14305.200924055856</v>
      </c>
      <c r="D23" s="21">
        <f>'98-04 (cash)'!D23*'98-04 (cash)'!D$62</f>
        <v>14838.807819653995</v>
      </c>
      <c r="E23" s="21">
        <f>'98-04 (cash)'!E23*'98-04 (cash)'!E$62</f>
        <v>15125.213375999998</v>
      </c>
      <c r="F23" s="21">
        <f>'98-04 (cash)'!F23*'98-04 (cash)'!F$62</f>
        <v>14993.559</v>
      </c>
      <c r="G23" s="43">
        <f>'98-04 (cash)'!G23</f>
        <v>17563</v>
      </c>
      <c r="H23" s="4"/>
      <c r="I23" s="4"/>
      <c r="J23" s="4"/>
      <c r="K23" s="4"/>
      <c r="L23" s="4"/>
      <c r="M23" s="4"/>
      <c r="N23" s="4"/>
      <c r="O23" s="4"/>
    </row>
    <row r="24" spans="1:15" ht="12.75">
      <c r="A24" s="10" t="s">
        <v>41</v>
      </c>
      <c r="B24" s="21">
        <f>'98-04 (cash)'!B24*'98-04 (cash)'!B$62</f>
        <v>15363.347978892327</v>
      </c>
      <c r="C24" s="21">
        <f>'98-04 (cash)'!C24*'98-04 (cash)'!C$62</f>
        <v>17806.611996285836</v>
      </c>
      <c r="D24" s="21">
        <f>'98-04 (cash)'!D24*'98-04 (cash)'!D$62</f>
        <v>16028.767496195995</v>
      </c>
      <c r="E24" s="21">
        <f>'98-04 (cash)'!E24*'98-04 (cash)'!E$62</f>
        <v>21253.136813999998</v>
      </c>
      <c r="F24" s="21">
        <f>'98-04 (cash)'!F24*'98-04 (cash)'!F$62</f>
        <v>23500.302</v>
      </c>
      <c r="G24" s="43">
        <f>'98-04 (cash)'!G24</f>
        <v>0</v>
      </c>
      <c r="H24" s="4"/>
      <c r="I24" s="4"/>
      <c r="J24" s="4"/>
      <c r="K24" s="4"/>
      <c r="L24" s="4"/>
      <c r="M24" s="4"/>
      <c r="N24" s="4"/>
      <c r="O24" s="4"/>
    </row>
    <row r="25" spans="1:15" ht="12.75">
      <c r="A25" s="10" t="s">
        <v>25</v>
      </c>
      <c r="B25" s="21">
        <f>'98-04 (cash)'!B25*'98-04 (cash)'!B$62</f>
        <v>0</v>
      </c>
      <c r="C25" s="21">
        <f>'98-04 (cash)'!C25*'98-04 (cash)'!C$62</f>
        <v>0</v>
      </c>
      <c r="D25" s="21">
        <f>'98-04 (cash)'!D25*'98-04 (cash)'!D$62</f>
        <v>0</v>
      </c>
      <c r="E25" s="21">
        <f>'98-04 (cash)'!E25*'98-04 (cash)'!E$62</f>
        <v>0</v>
      </c>
      <c r="F25" s="21">
        <f>'98-04 (cash)'!F25*'98-04 (cash)'!F$62</f>
        <v>0</v>
      </c>
      <c r="G25" s="43">
        <f>'98-04 (cash)'!G25</f>
        <v>18962</v>
      </c>
      <c r="H25" s="4"/>
      <c r="I25" s="4"/>
      <c r="J25" s="4"/>
      <c r="K25" s="4"/>
      <c r="L25" s="4"/>
      <c r="M25" s="4"/>
      <c r="N25" s="4"/>
      <c r="O25" s="4"/>
    </row>
    <row r="26" spans="1:15" ht="12.75" customHeight="1">
      <c r="A26" s="10" t="s">
        <v>19</v>
      </c>
      <c r="B26" s="21">
        <f>'98-04 (cash)'!B26*'98-04 (cash)'!B$62</f>
        <v>152089.26862662865</v>
      </c>
      <c r="C26" s="21">
        <f>'98-04 (cash)'!C26*'98-04 (cash)'!C$62</f>
        <v>116393.66326756346</v>
      </c>
      <c r="D26" s="21">
        <f>'98-04 (cash)'!D26*'98-04 (cash)'!D$62</f>
        <v>128329.21449948596</v>
      </c>
      <c r="E26" s="21">
        <f>'98-04 (cash)'!E26*'98-04 (cash)'!E$62</f>
        <v>146844.78681599998</v>
      </c>
      <c r="F26" s="21">
        <f>'98-04 (cash)'!F26*'98-04 (cash)'!F$62</f>
        <v>150262.81199999998</v>
      </c>
      <c r="G26" s="43">
        <f>'98-04 (cash)'!G26</f>
        <v>235377</v>
      </c>
      <c r="H26" s="4"/>
      <c r="I26" s="4"/>
      <c r="J26" s="4"/>
      <c r="K26" s="4"/>
      <c r="L26" s="4"/>
      <c r="M26" s="4"/>
      <c r="N26" s="4"/>
      <c r="O26" s="4"/>
    </row>
    <row r="27" spans="1:15" ht="12.75">
      <c r="A27" s="10" t="s">
        <v>20</v>
      </c>
      <c r="B27" s="21">
        <f>'98-04 (cash)'!B27*'98-04 (cash)'!B$62</f>
        <v>77369.19474993773</v>
      </c>
      <c r="C27" s="21">
        <f>'98-04 (cash)'!C27*'98-04 (cash)'!C$62</f>
        <v>87902.86461809577</v>
      </c>
      <c r="D27" s="21">
        <f>'98-04 (cash)'!D27*'98-04 (cash)'!D$62</f>
        <v>96471.95920198197</v>
      </c>
      <c r="E27" s="21">
        <f>'98-04 (cash)'!E27*'98-04 (cash)'!E$62</f>
        <v>100598.94608399998</v>
      </c>
      <c r="F27" s="21">
        <f>'98-04 (cash)'!F27*'98-04 (cash)'!F$62</f>
        <v>109875.59099999999</v>
      </c>
      <c r="G27" s="43">
        <f>'98-04 (cash)'!G27</f>
        <v>137219</v>
      </c>
      <c r="H27" s="4"/>
      <c r="I27" s="4"/>
      <c r="J27" s="4"/>
      <c r="K27" s="4"/>
      <c r="L27" s="4"/>
      <c r="M27" s="4"/>
      <c r="N27" s="4"/>
      <c r="O27" s="4"/>
    </row>
    <row r="28" spans="1:15" ht="12.75">
      <c r="A28" s="10" t="s">
        <v>21</v>
      </c>
      <c r="B28" s="21">
        <f>'98-04 (cash)'!B28*'98-04 (cash)'!B$62</f>
        <v>62357.509801539214</v>
      </c>
      <c r="C28" s="21">
        <f>'98-04 (cash)'!C28*'98-04 (cash)'!C$62</f>
        <v>62159.6477062852</v>
      </c>
      <c r="D28" s="21">
        <f>'98-04 (cash)'!D28*'98-04 (cash)'!D$62</f>
        <v>43648.189675271984</v>
      </c>
      <c r="E28" s="21">
        <f>'98-04 (cash)'!E28*'98-04 (cash)'!E$62</f>
        <v>47704.52231999999</v>
      </c>
      <c r="F28" s="21">
        <f>'98-04 (cash)'!F28*'98-04 (cash)'!F$62</f>
        <v>47197.143</v>
      </c>
      <c r="G28" s="43">
        <f>'98-04 (cash)'!G28</f>
        <v>83135</v>
      </c>
      <c r="H28" s="4"/>
      <c r="I28" s="4"/>
      <c r="J28" s="4"/>
      <c r="K28" s="4"/>
      <c r="L28" s="4"/>
      <c r="M28" s="4"/>
      <c r="N28" s="4"/>
      <c r="O28" s="4"/>
    </row>
    <row r="29" spans="1:15" ht="12.75">
      <c r="A29" s="10" t="s">
        <v>22</v>
      </c>
      <c r="B29" s="21">
        <f>'98-04 (cash)'!B29*'98-04 (cash)'!B$62</f>
        <v>13205.667870657395</v>
      </c>
      <c r="C29" s="21">
        <f>'98-04 (cash)'!C29*'98-04 (cash)'!C$62</f>
        <v>16978.167822191936</v>
      </c>
      <c r="D29" s="21">
        <f>'98-04 (cash)'!D29*'98-04 (cash)'!D$62</f>
        <v>25085.031784721992</v>
      </c>
      <c r="E29" s="21">
        <f>'98-04 (cash)'!E29*'98-04 (cash)'!E$62</f>
        <v>24606.643697999996</v>
      </c>
      <c r="F29" s="21">
        <f>'98-04 (cash)'!F29*'98-04 (cash)'!F$62</f>
        <v>25117.89</v>
      </c>
      <c r="G29" s="43">
        <f>'98-04 (cash)'!G29</f>
        <v>56343</v>
      </c>
      <c r="H29" s="4"/>
      <c r="I29" s="4"/>
      <c r="J29" s="4"/>
      <c r="K29" s="4"/>
      <c r="L29" s="4"/>
      <c r="M29" s="4"/>
      <c r="N29" s="4"/>
      <c r="O29" s="4"/>
    </row>
    <row r="30" spans="1:15" ht="12.75">
      <c r="A30" s="10" t="s">
        <v>23</v>
      </c>
      <c r="B30" s="21">
        <f>'98-04 (cash)'!B30*'98-04 (cash)'!B$62</f>
        <v>213547.09793059537</v>
      </c>
      <c r="C30" s="21">
        <f>'98-04 (cash)'!C30*'98-04 (cash)'!C$62</f>
        <v>212612.79066109986</v>
      </c>
      <c r="D30" s="21">
        <f>'98-04 (cash)'!D30*'98-04 (cash)'!D$62</f>
        <v>215504.14765206593</v>
      </c>
      <c r="E30" s="21">
        <f>'98-04 (cash)'!E30*'98-04 (cash)'!E$62</f>
        <v>198926.39730599997</v>
      </c>
      <c r="F30" s="21">
        <f>'98-04 (cash)'!F30*'98-04 (cash)'!F$62</f>
        <v>210466.51499999998</v>
      </c>
      <c r="G30" s="43">
        <f>'98-04 (cash)'!G30</f>
        <v>223593</v>
      </c>
      <c r="H30" s="4"/>
      <c r="I30" s="4"/>
      <c r="J30" s="4"/>
      <c r="K30" s="4"/>
      <c r="L30" s="4"/>
      <c r="M30" s="4"/>
      <c r="N30" s="4"/>
      <c r="O30" s="4"/>
    </row>
    <row r="31" spans="1:15" ht="12.75">
      <c r="A31" s="11" t="s">
        <v>8</v>
      </c>
      <c r="B31" s="31">
        <f>'98-04 (cash)'!B31*'98-04 (cash)'!B$62</f>
        <v>546696.234683367</v>
      </c>
      <c r="C31" s="31">
        <f>'98-04 (cash)'!C31*'98-04 (cash)'!C$62</f>
        <v>528158.9469955779</v>
      </c>
      <c r="D31" s="31">
        <f>'98-04 (cash)'!D31*'98-04 (cash)'!D$62</f>
        <v>539906.1181293778</v>
      </c>
      <c r="E31" s="31">
        <f>'98-04 (cash)'!E31*'98-04 (cash)'!E$62</f>
        <v>555059.646414</v>
      </c>
      <c r="F31" s="31">
        <f>'98-04 (cash)'!F31*'98-04 (cash)'!F$62</f>
        <v>581413.8119999999</v>
      </c>
      <c r="G31" s="4">
        <f>'98-04 (cash)'!G31</f>
        <v>772192</v>
      </c>
      <c r="H31" s="4"/>
      <c r="I31" s="4"/>
      <c r="J31" s="4"/>
      <c r="K31" s="4"/>
      <c r="L31" s="4"/>
      <c r="M31" s="4"/>
      <c r="N31" s="4"/>
      <c r="O31" s="4"/>
    </row>
    <row r="32" spans="1:15" ht="12.75">
      <c r="A32" s="12"/>
      <c r="B32" s="21"/>
      <c r="C32" s="21"/>
      <c r="D32" s="21"/>
      <c r="E32" s="21"/>
      <c r="F32" s="21"/>
      <c r="G32" s="43"/>
      <c r="H32" s="4"/>
      <c r="I32" s="4"/>
      <c r="J32" s="4"/>
      <c r="K32" s="4"/>
      <c r="L32" s="4"/>
      <c r="M32" s="4"/>
      <c r="N32" s="4"/>
      <c r="O32" s="4"/>
    </row>
    <row r="33" spans="1:15" ht="12.75">
      <c r="A33" s="13" t="s">
        <v>15</v>
      </c>
      <c r="B33" s="21"/>
      <c r="C33" s="21"/>
      <c r="D33" s="21"/>
      <c r="E33" s="21"/>
      <c r="F33" s="21"/>
      <c r="G33" s="43"/>
      <c r="H33" s="4"/>
      <c r="I33" s="4"/>
      <c r="J33" s="4"/>
      <c r="K33" s="4"/>
      <c r="L33" s="4"/>
      <c r="M33" s="4"/>
      <c r="N33" s="4"/>
      <c r="O33" s="4"/>
    </row>
    <row r="34" spans="1:15" ht="12.75">
      <c r="A34" s="10" t="s">
        <v>17</v>
      </c>
      <c r="B34" s="21">
        <f>'98-04 (cash)'!B34*'98-04 (cash)'!B$62</f>
        <v>516984.59132148715</v>
      </c>
      <c r="C34" s="21">
        <f>'98-04 (cash)'!C34*'98-04 (cash)'!C$62</f>
        <v>553502.7550605406</v>
      </c>
      <c r="D34" s="21">
        <f>'98-04 (cash)'!D34*'98-04 (cash)'!D$62</f>
        <v>618619.2341729398</v>
      </c>
      <c r="E34" s="21">
        <f>'98-04 (cash)'!E34*'98-04 (cash)'!E$62</f>
        <v>696803.221296</v>
      </c>
      <c r="F34" s="21">
        <f>'98-04 (cash)'!F34*'98-04 (cash)'!F$62</f>
        <v>699810.5519999999</v>
      </c>
      <c r="G34" s="43">
        <f>'98-04 (cash)'!G34</f>
        <v>692203</v>
      </c>
      <c r="H34" s="4"/>
      <c r="I34" s="4"/>
      <c r="J34" s="4"/>
      <c r="K34" s="4"/>
      <c r="L34" s="4"/>
      <c r="M34" s="4"/>
      <c r="N34" s="4"/>
      <c r="O34" s="4"/>
    </row>
    <row r="35" spans="1:15" ht="12.75">
      <c r="A35" s="10" t="s">
        <v>18</v>
      </c>
      <c r="B35" s="21">
        <f>'98-04 (cash)'!B35*'98-04 (cash)'!B$62</f>
        <v>395245.94998596364</v>
      </c>
      <c r="C35" s="21">
        <f>'98-04 (cash)'!C35*'98-04 (cash)'!C$62</f>
        <v>439836.9225437022</v>
      </c>
      <c r="D35" s="21">
        <f>'98-04 (cash)'!D35*'98-04 (cash)'!D$62</f>
        <v>491719.67579334584</v>
      </c>
      <c r="E35" s="21">
        <f>'98-04 (cash)'!E35*'98-04 (cash)'!E$62</f>
        <v>525491.6071859999</v>
      </c>
      <c r="F35" s="21">
        <f>'98-04 (cash)'!F35*'98-04 (cash)'!F$62</f>
        <v>558019.497</v>
      </c>
      <c r="G35" s="43">
        <f>'98-04 (cash)'!G35</f>
        <v>576172</v>
      </c>
      <c r="H35" s="4"/>
      <c r="I35" s="4"/>
      <c r="J35" s="4"/>
      <c r="K35" s="4"/>
      <c r="L35" s="4"/>
      <c r="M35" s="4"/>
      <c r="N35" s="4"/>
      <c r="O35" s="4"/>
    </row>
    <row r="36" spans="1:15" ht="22.5">
      <c r="A36" s="10" t="s">
        <v>19</v>
      </c>
      <c r="B36" s="21">
        <f>'98-04 (cash)'!B36*'98-04 (cash)'!B$62</f>
        <v>274627.7492207832</v>
      </c>
      <c r="C36" s="21">
        <f>'98-04 (cash)'!C36*'98-04 (cash)'!C$62</f>
        <v>285525.7534748291</v>
      </c>
      <c r="D36" s="21">
        <f>'98-04 (cash)'!D36*'98-04 (cash)'!D$62</f>
        <v>308520.2167997039</v>
      </c>
      <c r="E36" s="21">
        <f>'98-04 (cash)'!E36*'98-04 (cash)'!E$62</f>
        <v>332182.9077839999</v>
      </c>
      <c r="F36" s="21">
        <f>'98-04 (cash)'!F36*'98-04 (cash)'!F$62</f>
        <v>360569.832</v>
      </c>
      <c r="G36" s="43">
        <f>'98-04 (cash)'!G36</f>
        <v>403368</v>
      </c>
      <c r="H36" s="4"/>
      <c r="I36" s="4"/>
      <c r="J36" s="4"/>
      <c r="K36" s="4"/>
      <c r="L36" s="4"/>
      <c r="M36" s="4"/>
      <c r="N36" s="4"/>
      <c r="O36" s="4"/>
    </row>
    <row r="37" spans="1:15" ht="12.75">
      <c r="A37" s="10" t="s">
        <v>20</v>
      </c>
      <c r="B37" s="21">
        <f>'98-04 (cash)'!B37*'98-04 (cash)'!B$62</f>
        <v>202909.56859493224</v>
      </c>
      <c r="C37" s="21">
        <f>'98-04 (cash)'!C37*'98-04 (cash)'!C$62</f>
        <v>220356.2748155113</v>
      </c>
      <c r="D37" s="21">
        <f>'98-04 (cash)'!D37*'98-04 (cash)'!D$62</f>
        <v>229257.39691272593</v>
      </c>
      <c r="E37" s="21">
        <f>'98-04 (cash)'!E37*'98-04 (cash)'!E$62</f>
        <v>218391.13623599996</v>
      </c>
      <c r="F37" s="21">
        <f>'98-04 (cash)'!F37*'98-04 (cash)'!F$62</f>
        <v>220543.512</v>
      </c>
      <c r="G37" s="43">
        <f>'98-04 (cash)'!G37</f>
        <v>204071</v>
      </c>
      <c r="H37" s="4"/>
      <c r="I37" s="4"/>
      <c r="J37" s="4"/>
      <c r="K37" s="4"/>
      <c r="L37" s="4"/>
      <c r="M37" s="4"/>
      <c r="N37" s="4"/>
      <c r="O37" s="4"/>
    </row>
    <row r="38" spans="1:15" ht="12.75">
      <c r="A38" s="10" t="s">
        <v>21</v>
      </c>
      <c r="B38" s="21">
        <f>'98-04 (cash)'!B38*'98-04 (cash)'!B$62</f>
        <v>163866.0974333238</v>
      </c>
      <c r="C38" s="21">
        <f>'98-04 (cash)'!C38*'98-04 (cash)'!C$62</f>
        <v>147059.26503365912</v>
      </c>
      <c r="D38" s="21">
        <f>'98-04 (cash)'!D38*'98-04 (cash)'!D$62</f>
        <v>146849.75968899595</v>
      </c>
      <c r="E38" s="21">
        <f>'98-04 (cash)'!E38*'98-04 (cash)'!E$62</f>
        <v>161216.66105999998</v>
      </c>
      <c r="F38" s="21">
        <f>'98-04 (cash)'!F38*'98-04 (cash)'!F$62</f>
        <v>177789.591</v>
      </c>
      <c r="G38" s="43">
        <f>'98-04 (cash)'!G38</f>
        <v>172345</v>
      </c>
      <c r="H38" s="4"/>
      <c r="I38" s="4"/>
      <c r="J38" s="4"/>
      <c r="K38" s="4"/>
      <c r="L38" s="4"/>
      <c r="M38" s="4"/>
      <c r="N38" s="4"/>
      <c r="O38" s="4"/>
    </row>
    <row r="39" spans="1:15" ht="12.75">
      <c r="A39" s="10" t="s">
        <v>22</v>
      </c>
      <c r="B39" s="21">
        <f>'98-04 (cash)'!B39*'98-04 (cash)'!B$62</f>
        <v>87566.31328715906</v>
      </c>
      <c r="C39" s="21">
        <f>'98-04 (cash)'!C39*'98-04 (cash)'!C$62</f>
        <v>90412.33723551664</v>
      </c>
      <c r="D39" s="21">
        <f>'98-04 (cash)'!D39*'98-04 (cash)'!D$62</f>
        <v>102781.83490847997</v>
      </c>
      <c r="E39" s="21">
        <f>'98-04 (cash)'!E39*'98-04 (cash)'!E$62</f>
        <v>104523.19604999998</v>
      </c>
      <c r="F39" s="21">
        <f>'98-04 (cash)'!F39*'98-04 (cash)'!F$62</f>
        <v>111270.915</v>
      </c>
      <c r="G39" s="43">
        <f>'98-04 (cash)'!G39</f>
        <v>124371</v>
      </c>
      <c r="H39" s="4"/>
      <c r="I39" s="4"/>
      <c r="J39" s="4"/>
      <c r="K39" s="4"/>
      <c r="L39" s="4"/>
      <c r="M39" s="4"/>
      <c r="N39" s="4"/>
      <c r="O39" s="4"/>
    </row>
    <row r="40" spans="1:15" ht="12.75">
      <c r="A40" s="10" t="s">
        <v>23</v>
      </c>
      <c r="B40" s="21">
        <f>'98-04 (cash)'!B40*'98-04 (cash)'!B$62</f>
        <v>28108.636803319645</v>
      </c>
      <c r="C40" s="21">
        <f>'98-04 (cash)'!C40*'98-04 (cash)'!C$62</f>
        <v>34045.21508557805</v>
      </c>
      <c r="D40" s="21">
        <f>'98-04 (cash)'!D40*'98-04 (cash)'!D$62</f>
        <v>33016.32076579199</v>
      </c>
      <c r="E40" s="21">
        <f>'98-04 (cash)'!E40*'98-04 (cash)'!E$62</f>
        <v>34136.070695999995</v>
      </c>
      <c r="F40" s="21">
        <f>'98-04 (cash)'!F40*'98-04 (cash)'!F$62</f>
        <v>42948.401999999995</v>
      </c>
      <c r="G40" s="43">
        <f>'98-04 (cash)'!G40</f>
        <v>38963</v>
      </c>
      <c r="H40" s="4"/>
      <c r="I40" s="4"/>
      <c r="J40" s="4"/>
      <c r="K40" s="4"/>
      <c r="L40" s="4"/>
      <c r="M40" s="4"/>
      <c r="N40" s="4"/>
      <c r="O40" s="4"/>
    </row>
    <row r="41" spans="1:15" ht="12.75">
      <c r="A41" s="11" t="s">
        <v>8</v>
      </c>
      <c r="B41" s="31">
        <f>'98-04 (cash)'!B41*'98-04 (cash)'!B$62</f>
        <v>1669308.9066469688</v>
      </c>
      <c r="C41" s="31">
        <f>'98-04 (cash)'!C41*'98-04 (cash)'!C$62</f>
        <v>1770738.523249337</v>
      </c>
      <c r="D41" s="31">
        <f>'98-04 (cash)'!D41*'98-04 (cash)'!D$62</f>
        <v>1930764.4390419833</v>
      </c>
      <c r="E41" s="31">
        <f>'98-04 (cash)'!E41*'98-04 (cash)'!E$62</f>
        <v>2072744.8003079996</v>
      </c>
      <c r="F41" s="31">
        <f>'98-04 (cash)'!F41*'98-04 (cash)'!F$62</f>
        <v>2170952.301</v>
      </c>
      <c r="G41" s="4">
        <f>'98-04 (cash)'!G41</f>
        <v>2211493</v>
      </c>
      <c r="H41" s="4"/>
      <c r="I41" s="4"/>
      <c r="J41" s="4"/>
      <c r="K41" s="4"/>
      <c r="L41" s="4"/>
      <c r="M41" s="4"/>
      <c r="N41" s="4"/>
      <c r="O41" s="4"/>
    </row>
    <row r="42" spans="1:7" ht="12.75">
      <c r="A42" s="9"/>
      <c r="B42" s="21"/>
      <c r="C42" s="21"/>
      <c r="D42" s="21"/>
      <c r="E42" s="21"/>
      <c r="F42" s="21"/>
      <c r="G42" s="43"/>
    </row>
    <row r="43" spans="1:8" ht="12.75">
      <c r="A43" s="8" t="s">
        <v>26</v>
      </c>
      <c r="B43" s="21"/>
      <c r="C43" s="21"/>
      <c r="D43" s="21"/>
      <c r="E43" s="21"/>
      <c r="F43" s="21"/>
      <c r="G43" s="43"/>
      <c r="H43" s="7"/>
    </row>
    <row r="44" spans="1:7" ht="12.75">
      <c r="A44" s="10" t="s">
        <v>28</v>
      </c>
      <c r="B44" s="21">
        <f>'98-04 (cash)'!B44*'98-04 (cash)'!B$62</f>
        <v>781588.2801525475</v>
      </c>
      <c r="C44" s="21">
        <f>'98-04 (cash)'!C44*'98-04 (cash)'!C$62</f>
        <v>816596.8737658311</v>
      </c>
      <c r="D44" s="21">
        <f>'98-04 (cash)'!D44*'98-04 (cash)'!D$62</f>
        <v>821850.9239254857</v>
      </c>
      <c r="E44" s="21">
        <f>'98-04 (cash)'!E44*'98-04 (cash)'!E$62</f>
        <v>846153.2259179999</v>
      </c>
      <c r="F44" s="21">
        <f>'98-04 (cash)'!F44*'98-04 (cash)'!F$62</f>
        <v>857413.2209999999</v>
      </c>
      <c r="G44" s="43">
        <f>'98-04 (cash)'!G44</f>
        <v>881778</v>
      </c>
    </row>
    <row r="45" spans="1:7" ht="12.75">
      <c r="A45" s="10" t="s">
        <v>29</v>
      </c>
      <c r="B45" s="21">
        <f>'98-04 (cash)'!B45*'98-04 (cash)'!B$62</f>
        <v>279.55546903609405</v>
      </c>
      <c r="C45" s="21">
        <f>'98-04 (cash)'!C45*'98-04 (cash)'!C$62</f>
        <v>874.5298102686597</v>
      </c>
      <c r="D45" s="21">
        <f>'98-04 (cash)'!D45*'98-04 (cash)'!D$62</f>
        <v>11208.205691045996</v>
      </c>
      <c r="E45" s="21">
        <f>'98-04 (cash)'!E45*'98-04 (cash)'!E$62</f>
        <v>815.9434919999999</v>
      </c>
      <c r="F45" s="21">
        <f>'98-04 (cash)'!F45*'98-04 (cash)'!F$62</f>
        <v>1275.9599999999998</v>
      </c>
      <c r="G45" s="43">
        <f>'98-04 (cash)'!G45</f>
        <v>1197</v>
      </c>
    </row>
    <row r="46" spans="1:7" ht="12.75">
      <c r="A46" s="10" t="s">
        <v>30</v>
      </c>
      <c r="B46" s="21">
        <f>'98-04 (cash)'!B46*'98-04 (cash)'!B$62</f>
        <v>203215.74839435273</v>
      </c>
      <c r="C46" s="21">
        <f>'98-04 (cash)'!C46*'98-04 (cash)'!C$62</f>
        <v>208895.2160096692</v>
      </c>
      <c r="D46" s="21">
        <f>'98-04 (cash)'!D46*'98-04 (cash)'!D$62</f>
        <v>186987.72811609795</v>
      </c>
      <c r="E46" s="21">
        <f>'98-04 (cash)'!E46*'98-04 (cash)'!E$62</f>
        <v>213900.31681199998</v>
      </c>
      <c r="F46" s="21">
        <f>'98-04 (cash)'!F46*'98-04 (cash)'!F$62</f>
        <v>229713.96</v>
      </c>
      <c r="G46" s="43">
        <f>'98-04 (cash)'!G46</f>
        <v>239356</v>
      </c>
    </row>
    <row r="47" spans="1:7" ht="12.75">
      <c r="A47" s="10" t="s">
        <v>6</v>
      </c>
      <c r="B47" s="21">
        <f>'98-04 (cash)'!B47*'98-04 (cash)'!B$62</f>
        <v>26294.854295883084</v>
      </c>
      <c r="C47" s="21">
        <f>'98-04 (cash)'!C47*'98-04 (cash)'!C$62</f>
        <v>31311.89794959407</v>
      </c>
      <c r="D47" s="21">
        <f>'98-04 (cash)'!D47*'98-04 (cash)'!D$62</f>
        <v>39694.79633628599</v>
      </c>
      <c r="E47" s="21">
        <f>'98-04 (cash)'!E47*'98-04 (cash)'!E$62</f>
        <v>37901.722949999996</v>
      </c>
      <c r="F47" s="21">
        <f>'98-04 (cash)'!F47*'98-04 (cash)'!F$62</f>
        <v>40353.263999999996</v>
      </c>
      <c r="G47" s="43">
        <f>'98-04 (cash)'!G47</f>
        <v>53856</v>
      </c>
    </row>
    <row r="48" spans="1:7" ht="12.75">
      <c r="A48" s="10" t="s">
        <v>31</v>
      </c>
      <c r="B48" s="21">
        <f>'98-04 (cash)'!B48*'98-04 (cash)'!B$62</f>
        <v>7097.60274163861</v>
      </c>
      <c r="C48" s="21">
        <f>'98-04 (cash)'!C48*'98-04 (cash)'!C$62</f>
        <v>7584.378981903358</v>
      </c>
      <c r="D48" s="21">
        <f>'98-04 (cash)'!D48*'98-04 (cash)'!D$62</f>
        <v>7897.198820237997</v>
      </c>
      <c r="E48" s="21">
        <f>'98-04 (cash)'!E48*'98-04 (cash)'!E$62</f>
        <v>8662.356611999998</v>
      </c>
      <c r="F48" s="21">
        <f>'98-04 (cash)'!F48*'98-04 (cash)'!F$62</f>
        <v>13136.213999999998</v>
      </c>
      <c r="G48" s="43">
        <f>'98-04 (cash)'!G48</f>
        <v>16781</v>
      </c>
    </row>
    <row r="49" spans="1:7" ht="12.75">
      <c r="A49" s="10" t="s">
        <v>47</v>
      </c>
      <c r="B49" s="21">
        <f>'98-04 (cash)'!B49*'98-04 (cash)'!B$62</f>
        <v>0</v>
      </c>
      <c r="C49" s="21">
        <f>'98-04 (cash)'!C49*'98-04 (cash)'!C$62</f>
        <v>48971.47482094139</v>
      </c>
      <c r="D49" s="21">
        <f>'98-04 (cash)'!D49*'98-04 (cash)'!D$62</f>
        <v>0</v>
      </c>
      <c r="E49" s="21">
        <f>'98-04 (cash)'!E49*'98-04 (cash)'!E$62</f>
        <v>0</v>
      </c>
      <c r="F49" s="21">
        <f>'98-04 (cash)'!F49*'98-04 (cash)'!F$62</f>
        <v>0</v>
      </c>
      <c r="G49" s="43">
        <f>'98-04 (cash)'!G49</f>
        <v>0</v>
      </c>
    </row>
    <row r="50" spans="1:7" ht="12.75">
      <c r="A50" s="10" t="s">
        <v>32</v>
      </c>
      <c r="B50" s="21">
        <f>'98-04 (cash)'!B50*'98-04 (cash)'!B$62</f>
        <v>558288.91187157</v>
      </c>
      <c r="C50" s="21">
        <f>'98-04 (cash)'!C50*'98-04 (cash)'!C$62</f>
        <v>589425.4111817142</v>
      </c>
      <c r="D50" s="21">
        <f>'98-04 (cash)'!D50*'98-04 (cash)'!D$62</f>
        <v>652059.5513140798</v>
      </c>
      <c r="E50" s="21">
        <f>'98-04 (cash)'!E50*'98-04 (cash)'!E$62</f>
        <v>688982.8933259998</v>
      </c>
      <c r="F50" s="21">
        <f>'98-04 (cash)'!F50*'98-04 (cash)'!F$62</f>
        <v>748524.441</v>
      </c>
      <c r="G50" s="43">
        <f>'98-04 (cash)'!G50</f>
        <v>791319</v>
      </c>
    </row>
    <row r="51" spans="1:7" ht="12.75">
      <c r="A51" s="11" t="s">
        <v>8</v>
      </c>
      <c r="B51" s="31">
        <f>'98-04 (cash)'!B51*'98-04 (cash)'!B$62</f>
        <v>1576764.952925028</v>
      </c>
      <c r="C51" s="31">
        <f>'98-04 (cash)'!C51*'98-04 (cash)'!C$62</f>
        <v>1703659.782519922</v>
      </c>
      <c r="D51" s="31">
        <f>'98-04 (cash)'!D51*'98-04 (cash)'!D$62</f>
        <v>1719698.4042032333</v>
      </c>
      <c r="E51" s="31">
        <f>'98-04 (cash)'!E51*'98-04 (cash)'!E$62</f>
        <v>1796416.4591099997</v>
      </c>
      <c r="F51" s="31">
        <f>'98-04 (cash)'!F51*'98-04 (cash)'!F$62</f>
        <v>1890417.0599999998</v>
      </c>
      <c r="G51" s="4">
        <f>'98-04 (cash)'!G51</f>
        <v>1984287</v>
      </c>
    </row>
    <row r="52" spans="1:7" ht="12.75">
      <c r="A52" s="11" t="s">
        <v>27</v>
      </c>
      <c r="B52" s="21"/>
      <c r="C52" s="21"/>
      <c r="D52" s="21"/>
      <c r="E52" s="21"/>
      <c r="F52" s="21"/>
      <c r="G52" s="43"/>
    </row>
    <row r="53" spans="1:7" ht="12.75">
      <c r="A53" s="10" t="s">
        <v>33</v>
      </c>
      <c r="B53" s="21">
        <f>'98-04 (cash)'!B53*'98-04 (cash)'!B$62</f>
        <v>80516.41247079248</v>
      </c>
      <c r="C53" s="21">
        <f>'98-04 (cash)'!C53*'98-04 (cash)'!C$62</f>
        <v>85143.21283286907</v>
      </c>
      <c r="D53" s="21">
        <f>'98-04 (cash)'!D53*'98-04 (cash)'!D$62</f>
        <v>95655.92597706597</v>
      </c>
      <c r="E53" s="21">
        <f>'98-04 (cash)'!E53*'98-04 (cash)'!E$62</f>
        <v>103808.46293999998</v>
      </c>
      <c r="F53" s="21">
        <f>'98-04 (cash)'!F53*'98-04 (cash)'!F$62</f>
        <v>70798.287</v>
      </c>
      <c r="G53" s="43">
        <f>'98-04 (cash)'!G53</f>
        <v>66525</v>
      </c>
    </row>
    <row r="54" spans="1:7" ht="12.75">
      <c r="A54" s="10" t="s">
        <v>34</v>
      </c>
      <c r="B54" s="21">
        <f>'98-04 (cash)'!B54*'98-04 (cash)'!B$62</f>
        <v>29246.826927252314</v>
      </c>
      <c r="C54" s="21">
        <f>'98-04 (cash)'!C54*'98-04 (cash)'!C$62</f>
        <v>30710.59012521863</v>
      </c>
      <c r="D54" s="21">
        <f>'98-04 (cash)'!D54*'98-04 (cash)'!D$62</f>
        <v>31055.071200425988</v>
      </c>
      <c r="E54" s="21">
        <f>'98-04 (cash)'!E54*'98-04 (cash)'!E$62</f>
        <v>25503.972857999997</v>
      </c>
      <c r="F54" s="21">
        <f>'98-04 (cash)'!F54*'98-04 (cash)'!F$62</f>
        <v>21102.732</v>
      </c>
      <c r="G54" s="43">
        <f>'98-04 (cash)'!G54</f>
        <v>19110</v>
      </c>
    </row>
    <row r="55" spans="1:7" ht="12.75">
      <c r="A55" s="10" t="s">
        <v>35</v>
      </c>
      <c r="B55" s="21">
        <f>'98-04 (cash)'!B55*'98-04 (cash)'!B$62</f>
        <v>158500.1855137699</v>
      </c>
      <c r="C55" s="21">
        <f>'98-04 (cash)'!C55*'98-04 (cash)'!C$62</f>
        <v>157237.6069659704</v>
      </c>
      <c r="D55" s="21">
        <f>'98-04 (cash)'!D55*'98-04 (cash)'!D$62</f>
        <v>135302.78302468196</v>
      </c>
      <c r="E55" s="21">
        <f>'98-04 (cash)'!E55*'98-04 (cash)'!E$62</f>
        <v>100587.46861799998</v>
      </c>
      <c r="F55" s="21">
        <f>'98-04 (cash)'!F55*'98-04 (cash)'!F$62</f>
        <v>106007.57999999999</v>
      </c>
      <c r="G55" s="43">
        <f>'98-04 (cash)'!G55</f>
        <v>111527</v>
      </c>
    </row>
    <row r="56" spans="1:7" ht="12.75">
      <c r="A56" s="11" t="s">
        <v>8</v>
      </c>
      <c r="B56" s="31">
        <f>'98-04 (cash)'!B56*'98-04 (cash)'!B$62</f>
        <v>268263.4249118147</v>
      </c>
      <c r="C56" s="31">
        <f>'98-04 (cash)'!C56*'98-04 (cash)'!C$62</f>
        <v>273091.4099240581</v>
      </c>
      <c r="D56" s="31">
        <f>'98-04 (cash)'!D56*'98-04 (cash)'!D$62</f>
        <v>262013.78020217392</v>
      </c>
      <c r="E56" s="31">
        <f>'98-04 (cash)'!E56*'98-04 (cash)'!E$62</f>
        <v>229899.90441599998</v>
      </c>
      <c r="F56" s="31">
        <f>'98-04 (cash)'!F56*'98-04 (cash)'!F$62</f>
        <v>197908.599</v>
      </c>
      <c r="G56" s="4">
        <f>'98-04 (cash)'!G56</f>
        <v>197162</v>
      </c>
    </row>
    <row r="57" spans="1:7" ht="12.75">
      <c r="A57" s="9"/>
      <c r="B57" s="9"/>
      <c r="C57" s="9"/>
      <c r="D57" s="9"/>
      <c r="E57" s="40"/>
      <c r="F57" s="9"/>
      <c r="G57" s="9"/>
    </row>
    <row r="58" spans="2:7" ht="12.75">
      <c r="B58" s="29">
        <f aca="true" t="shared" si="0" ref="B58:G58">B10+B20+B31+B41+B51+B56</f>
        <v>10999137.662902603</v>
      </c>
      <c r="C58" s="29">
        <f t="shared" si="0"/>
        <v>11482619.20263252</v>
      </c>
      <c r="D58" s="29">
        <f t="shared" si="0"/>
        <v>11791621.507572265</v>
      </c>
      <c r="E58" s="29">
        <f t="shared" si="0"/>
        <v>12352962.932855997</v>
      </c>
      <c r="F58" s="29">
        <f t="shared" si="0"/>
        <v>13098056.622</v>
      </c>
      <c r="G58" s="29">
        <f t="shared" si="0"/>
        <v>13890631</v>
      </c>
    </row>
    <row r="59" spans="1:7" ht="12.75">
      <c r="A59" s="47" t="s">
        <v>63</v>
      </c>
      <c r="B59" s="49">
        <v>1.1</v>
      </c>
      <c r="C59" s="49">
        <v>3</v>
      </c>
      <c r="D59" s="49">
        <v>2.1</v>
      </c>
      <c r="E59" s="50">
        <v>1.4</v>
      </c>
      <c r="F59" s="49">
        <v>2.9</v>
      </c>
      <c r="G59" s="44">
        <v>3.2</v>
      </c>
    </row>
    <row r="60" spans="1:7" ht="12.75">
      <c r="A60" s="49" t="s">
        <v>62</v>
      </c>
      <c r="B60" s="47">
        <f>1+(B59/100)</f>
        <v>1.011</v>
      </c>
      <c r="C60" s="47">
        <f>1+(C59/100)</f>
        <v>1.03</v>
      </c>
      <c r="D60" s="47">
        <f>1+(D59/100)</f>
        <v>1.021</v>
      </c>
      <c r="E60" s="47">
        <f>1+(E59/100)</f>
        <v>1.014</v>
      </c>
      <c r="F60" s="47">
        <f>1+(F59/100)</f>
        <v>1.029</v>
      </c>
      <c r="G60" s="47">
        <v>1</v>
      </c>
    </row>
    <row r="61" spans="1:7" s="47" customFormat="1" ht="11.25">
      <c r="A61" s="47" t="s">
        <v>61</v>
      </c>
      <c r="B61" s="51">
        <f>B60*C61</f>
        <v>1.1093470993495795</v>
      </c>
      <c r="C61" s="51">
        <f>C60*D61</f>
        <v>1.0972770517799997</v>
      </c>
      <c r="D61" s="51">
        <f>D60*E61</f>
        <v>1.0653175259999996</v>
      </c>
      <c r="E61" s="53">
        <f>E60*F60</f>
        <v>1.0434059999999998</v>
      </c>
      <c r="F61" s="47">
        <f>F60</f>
        <v>1.029</v>
      </c>
      <c r="G61" s="47">
        <v>1</v>
      </c>
    </row>
    <row r="62" spans="1:7" ht="12.75">
      <c r="A62" s="47" t="s">
        <v>64</v>
      </c>
      <c r="B62" s="52">
        <f>B58/'94-98 (03-04 prices)'!E58*100-100</f>
        <v>1.0305084451110957</v>
      </c>
      <c r="C62" s="52">
        <f>C58/B58*100-100</f>
        <v>4.395631317176637</v>
      </c>
      <c r="D62" s="52">
        <f>D58/C58*100-100</f>
        <v>2.6910437373809657</v>
      </c>
      <c r="E62" s="52">
        <f>E58/D58*100-100</f>
        <v>4.7605108841328985</v>
      </c>
      <c r="F62" s="52">
        <f>F58/E58*100-100</f>
        <v>6.0317001936614645</v>
      </c>
      <c r="G62" s="52">
        <f>G58/F58*100-100</f>
        <v>6.051083766646428</v>
      </c>
    </row>
    <row r="64" spans="1:7" ht="12.75">
      <c r="A64" s="47" t="s">
        <v>65</v>
      </c>
      <c r="B64" s="54">
        <f aca="true" t="shared" si="1" ref="B64:G64">B10+B25+B24+B26+B34+B36+B45+B46</f>
        <v>5544760.858911055</v>
      </c>
      <c r="C64" s="54">
        <f t="shared" si="1"/>
        <v>5712137.942256162</v>
      </c>
      <c r="D64" s="54">
        <f t="shared" si="1"/>
        <v>5850436.217059977</v>
      </c>
      <c r="E64" s="54">
        <f t="shared" si="1"/>
        <v>6160188.681737999</v>
      </c>
      <c r="F64" s="54">
        <f t="shared" si="1"/>
        <v>6443001.18</v>
      </c>
      <c r="G64" s="54">
        <f t="shared" si="1"/>
        <v>6833870</v>
      </c>
    </row>
    <row r="65" spans="1:9" ht="12.75">
      <c r="A65" s="49" t="s">
        <v>68</v>
      </c>
      <c r="B65" s="54">
        <f aca="true" t="shared" si="2" ref="B65:G65">B15+B16+B18+B19+B23+B27+B28+B29+B30+B35+B37+B38+B39+B40+B44+B47+B48+B49+B50+B56</f>
        <v>3829280.925989157</v>
      </c>
      <c r="C65" s="54">
        <f t="shared" si="2"/>
        <v>4104793.847510334</v>
      </c>
      <c r="D65" s="54">
        <f t="shared" si="2"/>
        <v>4222345.53223501</v>
      </c>
      <c r="E65" s="54">
        <f t="shared" si="2"/>
        <v>4358568.756905999</v>
      </c>
      <c r="F65" s="54">
        <f t="shared" si="2"/>
        <v>4605610.5479999995</v>
      </c>
      <c r="G65" s="54">
        <f t="shared" si="2"/>
        <v>4845317</v>
      </c>
      <c r="H65" s="52">
        <f>(G65/B65*100-100)/5</f>
        <v>5.30666771985859</v>
      </c>
      <c r="I65" s="52"/>
    </row>
    <row r="66" spans="1:7" ht="12.75">
      <c r="A66" s="49" t="s">
        <v>66</v>
      </c>
      <c r="B66" s="54">
        <f aca="true" t="shared" si="3" ref="B66:G66">B14</f>
        <v>1012122.8102154831</v>
      </c>
      <c r="C66" s="54">
        <f t="shared" si="3"/>
        <v>1025880.5258518305</v>
      </c>
      <c r="D66" s="54">
        <f t="shared" si="3"/>
        <v>1027474.2515239016</v>
      </c>
      <c r="E66" s="54">
        <f t="shared" si="3"/>
        <v>1037620.3137299998</v>
      </c>
      <c r="F66" s="54">
        <f t="shared" si="3"/>
        <v>1071349.524</v>
      </c>
      <c r="G66" s="54">
        <f t="shared" si="3"/>
        <v>1089950</v>
      </c>
    </row>
    <row r="67" spans="1:7" ht="12.75">
      <c r="A67" s="49" t="s">
        <v>69</v>
      </c>
      <c r="B67" s="54">
        <f aca="true" t="shared" si="4" ref="B67:G67">B17</f>
        <v>612973.0677869082</v>
      </c>
      <c r="C67" s="54">
        <f t="shared" si="4"/>
        <v>639806.8870141929</v>
      </c>
      <c r="D67" s="54">
        <f t="shared" si="4"/>
        <v>691365.5067533758</v>
      </c>
      <c r="E67" s="54">
        <f t="shared" si="4"/>
        <v>796585.1804819999</v>
      </c>
      <c r="F67" s="54">
        <f t="shared" si="4"/>
        <v>978095.3699999999</v>
      </c>
      <c r="G67" s="54">
        <f t="shared" si="4"/>
        <v>1121494</v>
      </c>
    </row>
    <row r="68" spans="2:7" ht="12.75">
      <c r="B68" s="55">
        <f aca="true" t="shared" si="5" ref="B68:G68">SUM(B64:B67)</f>
        <v>10999137.662902603</v>
      </c>
      <c r="C68" s="55">
        <f t="shared" si="5"/>
        <v>11482619.20263252</v>
      </c>
      <c r="D68" s="55">
        <f t="shared" si="5"/>
        <v>11791621.507572263</v>
      </c>
      <c r="E68" s="55">
        <f t="shared" si="5"/>
        <v>12352962.932856</v>
      </c>
      <c r="F68" s="55">
        <f t="shared" si="5"/>
        <v>13098056.622</v>
      </c>
      <c r="G68" s="55">
        <f t="shared" si="5"/>
        <v>13890631</v>
      </c>
    </row>
    <row r="69" ht="12.75">
      <c r="B69" s="29"/>
    </row>
    <row r="70" spans="1:7" ht="12.75">
      <c r="A70" s="47" t="s">
        <v>65</v>
      </c>
      <c r="B70" s="54">
        <f aca="true" t="shared" si="6" ref="B70:G73">B64/B$68*100</f>
        <v>50.410868823036694</v>
      </c>
      <c r="C70" s="54">
        <f t="shared" si="6"/>
        <v>49.74594943413773</v>
      </c>
      <c r="D70" s="54">
        <f t="shared" si="6"/>
        <v>49.61519680141517</v>
      </c>
      <c r="E70" s="54">
        <f t="shared" si="6"/>
        <v>49.86810626099537</v>
      </c>
      <c r="F70" s="54">
        <f t="shared" si="6"/>
        <v>49.1905125007483</v>
      </c>
      <c r="G70" s="54">
        <f t="shared" si="6"/>
        <v>49.19769303496724</v>
      </c>
    </row>
    <row r="71" spans="1:7" ht="12.75">
      <c r="A71" s="49" t="s">
        <v>67</v>
      </c>
      <c r="B71" s="54">
        <f t="shared" si="6"/>
        <v>34.81437402956037</v>
      </c>
      <c r="C71" s="54">
        <f t="shared" si="6"/>
        <v>35.747887960695095</v>
      </c>
      <c r="D71" s="54">
        <f t="shared" si="6"/>
        <v>35.808014440791986</v>
      </c>
      <c r="E71" s="54">
        <f t="shared" si="6"/>
        <v>35.28358969906097</v>
      </c>
      <c r="F71" s="54">
        <f t="shared" si="6"/>
        <v>35.16254877280221</v>
      </c>
      <c r="G71" s="54">
        <f t="shared" si="6"/>
        <v>34.881907092629554</v>
      </c>
    </row>
    <row r="72" spans="1:7" ht="12.75">
      <c r="A72" s="49" t="s">
        <v>66</v>
      </c>
      <c r="B72" s="54">
        <f t="shared" si="6"/>
        <v>9.201837827970145</v>
      </c>
      <c r="C72" s="54">
        <f t="shared" si="6"/>
        <v>8.93420314431951</v>
      </c>
      <c r="D72" s="54">
        <f t="shared" si="6"/>
        <v>8.713595927956856</v>
      </c>
      <c r="E72" s="54">
        <f t="shared" si="6"/>
        <v>8.399768698165296</v>
      </c>
      <c r="F72" s="54">
        <f t="shared" si="6"/>
        <v>8.179454058860305</v>
      </c>
      <c r="G72" s="54">
        <f t="shared" si="6"/>
        <v>7.84665577827242</v>
      </c>
    </row>
    <row r="73" spans="1:7" ht="12.75">
      <c r="A73" s="49" t="s">
        <v>69</v>
      </c>
      <c r="B73" s="54">
        <f t="shared" si="6"/>
        <v>5.572919319432797</v>
      </c>
      <c r="C73" s="54">
        <f t="shared" si="6"/>
        <v>5.57195946084766</v>
      </c>
      <c r="D73" s="54">
        <f t="shared" si="6"/>
        <v>5.8631928298359925</v>
      </c>
      <c r="E73" s="54">
        <f t="shared" si="6"/>
        <v>6.448535341778361</v>
      </c>
      <c r="F73" s="54">
        <f t="shared" si="6"/>
        <v>7.467484667589185</v>
      </c>
      <c r="G73" s="54">
        <f t="shared" si="6"/>
        <v>8.073744094130785</v>
      </c>
    </row>
    <row r="75" ht="12.75">
      <c r="A75" s="46" t="s">
        <v>65</v>
      </c>
    </row>
    <row r="76" spans="1:7" ht="12.75">
      <c r="A76" s="49" t="s">
        <v>68</v>
      </c>
      <c r="B76" s="56">
        <v>3829280.925989157</v>
      </c>
      <c r="C76" s="56">
        <v>4104793.847510334</v>
      </c>
      <c r="D76" s="56">
        <v>4222345.53223501</v>
      </c>
      <c r="E76" s="57">
        <v>4358568.756905999</v>
      </c>
      <c r="F76" s="56">
        <v>4605610.5479999995</v>
      </c>
      <c r="G76" s="49">
        <v>4845317</v>
      </c>
    </row>
    <row r="77" spans="1:7" ht="12.75">
      <c r="A77" s="49" t="s">
        <v>66</v>
      </c>
      <c r="B77" s="56">
        <v>1012122.8102154831</v>
      </c>
      <c r="C77" s="56">
        <v>1025880.5258518305</v>
      </c>
      <c r="D77" s="56">
        <v>1027474.2515239016</v>
      </c>
      <c r="E77" s="57">
        <v>1037620.3137299998</v>
      </c>
      <c r="F77" s="56">
        <v>1071349.524</v>
      </c>
      <c r="G77" s="56">
        <v>1089950</v>
      </c>
    </row>
    <row r="78" spans="1:7" ht="12.75">
      <c r="A78" s="49" t="s">
        <v>69</v>
      </c>
      <c r="B78" s="56">
        <v>612973.0677869082</v>
      </c>
      <c r="C78" s="56">
        <v>639806.8870141929</v>
      </c>
      <c r="D78" s="56">
        <v>691365.5067533758</v>
      </c>
      <c r="E78" s="57">
        <v>796585.1804819999</v>
      </c>
      <c r="F78" s="56">
        <v>978095.37</v>
      </c>
      <c r="G78" s="56">
        <v>1121494</v>
      </c>
    </row>
    <row r="79" spans="1:7" ht="12.75">
      <c r="A79" s="49" t="s">
        <v>70</v>
      </c>
      <c r="B79" s="47"/>
      <c r="C79" s="47"/>
      <c r="D79" s="47"/>
      <c r="E79" s="48"/>
      <c r="F79" s="54">
        <f>F6+F34+F36</f>
        <v>2028363.7709999997</v>
      </c>
      <c r="G79" s="54">
        <f>G6+G34+G36</f>
        <v>2132615</v>
      </c>
    </row>
    <row r="80" spans="1:7" ht="12.75">
      <c r="A80" s="49" t="s">
        <v>71</v>
      </c>
      <c r="B80" s="47"/>
      <c r="C80" s="47"/>
      <c r="D80" s="47"/>
      <c r="E80" s="48"/>
      <c r="F80" s="54">
        <f>F64-F79</f>
        <v>4414637.409</v>
      </c>
      <c r="G80" s="54">
        <f>G64-G79</f>
        <v>4701255</v>
      </c>
    </row>
  </sheetData>
  <mergeCells count="4">
    <mergeCell ref="B5:B7"/>
    <mergeCell ref="E5:E7"/>
    <mergeCell ref="D5:D7"/>
    <mergeCell ref="C5:C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71"/>
  <sheetViews>
    <sheetView workbookViewId="0" topLeftCell="A46">
      <selection activeCell="G24" sqref="G24"/>
    </sheetView>
  </sheetViews>
  <sheetFormatPr defaultColWidth="9.140625" defaultRowHeight="12.75"/>
  <cols>
    <col min="1" max="1" width="49.140625" style="0" bestFit="1" customWidth="1"/>
    <col min="2" max="4" width="10.7109375" style="0" customWidth="1"/>
    <col min="5" max="5" width="10.7109375" style="41" customWidth="1"/>
  </cols>
  <sheetData>
    <row r="1" spans="2:38" s="11" customFormat="1" ht="11.25">
      <c r="B1" s="11" t="s">
        <v>51</v>
      </c>
      <c r="C1" s="11" t="s">
        <v>52</v>
      </c>
      <c r="D1" s="11" t="s">
        <v>53</v>
      </c>
      <c r="E1" s="11" t="s">
        <v>54</v>
      </c>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row>
    <row r="2" spans="1:38" s="5" customFormat="1" ht="11.25" customHeight="1">
      <c r="A2" s="8"/>
      <c r="B2" s="8"/>
      <c r="C2" s="8"/>
      <c r="D2" s="8"/>
      <c r="E2" s="34"/>
      <c r="L2" s="1"/>
      <c r="M2" s="1"/>
      <c r="N2" s="1"/>
      <c r="O2" s="1"/>
      <c r="P2" s="1"/>
      <c r="Q2" s="1"/>
      <c r="R2" s="1"/>
      <c r="S2" s="1"/>
      <c r="T2" s="1"/>
      <c r="U2" s="1"/>
      <c r="V2" s="1"/>
      <c r="W2" s="1"/>
      <c r="X2" s="1"/>
      <c r="Y2" s="1"/>
      <c r="Z2" s="1"/>
      <c r="AA2" s="1"/>
      <c r="AB2" s="1"/>
      <c r="AC2" s="1"/>
      <c r="AD2" s="1"/>
      <c r="AE2" s="1"/>
      <c r="AF2" s="1"/>
      <c r="AG2" s="1"/>
      <c r="AH2" s="1"/>
      <c r="AI2" s="1"/>
      <c r="AJ2" s="1"/>
      <c r="AK2" s="1"/>
      <c r="AL2" s="1"/>
    </row>
    <row r="3" spans="1:38" s="5" customFormat="1" ht="11.25" customHeight="1">
      <c r="A3" s="18" t="s">
        <v>36</v>
      </c>
      <c r="B3" s="18"/>
      <c r="C3" s="18"/>
      <c r="D3" s="18"/>
      <c r="E3" s="35"/>
      <c r="F3" s="17"/>
      <c r="G3" s="7"/>
      <c r="H3" s="7"/>
      <c r="I3" s="7"/>
      <c r="J3" s="7"/>
      <c r="K3" s="4"/>
      <c r="L3" s="1"/>
      <c r="M3" s="1"/>
      <c r="N3" s="1"/>
      <c r="O3" s="1"/>
      <c r="P3" s="1"/>
      <c r="Q3" s="1"/>
      <c r="R3" s="1"/>
      <c r="S3" s="1"/>
      <c r="T3" s="1"/>
      <c r="U3" s="1"/>
      <c r="V3" s="1"/>
      <c r="W3" s="1"/>
      <c r="X3" s="1"/>
      <c r="Y3" s="1"/>
      <c r="Z3" s="1"/>
      <c r="AA3" s="1"/>
      <c r="AB3" s="1"/>
      <c r="AC3" s="1"/>
      <c r="AD3" s="1"/>
      <c r="AE3" s="1"/>
      <c r="AF3" s="1"/>
      <c r="AG3" s="1"/>
      <c r="AH3" s="1"/>
      <c r="AI3" s="1"/>
      <c r="AJ3" s="1"/>
      <c r="AK3" s="1"/>
      <c r="AL3" s="1"/>
    </row>
    <row r="4" spans="1:38" s="5" customFormat="1" ht="11.25" customHeight="1">
      <c r="A4" s="19" t="s">
        <v>2</v>
      </c>
      <c r="B4" s="19"/>
      <c r="C4" s="19"/>
      <c r="D4" s="19"/>
      <c r="E4" s="31"/>
      <c r="F4" s="19"/>
      <c r="G4" s="6"/>
      <c r="H4" s="6"/>
      <c r="I4" s="6"/>
      <c r="J4" s="6"/>
      <c r="K4" s="4"/>
      <c r="L4" s="1"/>
      <c r="M4" s="1"/>
      <c r="N4" s="1"/>
      <c r="O4" s="1"/>
      <c r="P4" s="1"/>
      <c r="Q4" s="1"/>
      <c r="R4" s="1"/>
      <c r="S4" s="1"/>
      <c r="T4" s="1"/>
      <c r="U4" s="1"/>
      <c r="V4" s="1"/>
      <c r="W4" s="1"/>
      <c r="X4" s="1"/>
      <c r="Y4" s="1"/>
      <c r="Z4" s="1"/>
      <c r="AA4" s="1"/>
      <c r="AB4" s="1"/>
      <c r="AC4" s="1"/>
      <c r="AD4" s="1"/>
      <c r="AE4" s="1"/>
      <c r="AF4" s="1"/>
      <c r="AG4" s="1"/>
      <c r="AH4" s="1"/>
      <c r="AI4" s="1"/>
      <c r="AJ4" s="1"/>
      <c r="AK4" s="1"/>
      <c r="AL4" s="1"/>
    </row>
    <row r="5" spans="1:38" s="5" customFormat="1" ht="11.25" customHeight="1">
      <c r="A5" s="21" t="s">
        <v>3</v>
      </c>
      <c r="B5" s="227">
        <f>'94-98 (cash)'!B5:B7*'94-98 (cash)'!B$61</f>
        <v>3915761.1495910124</v>
      </c>
      <c r="C5" s="227">
        <f>'94-98 (cash)'!C5:C7*'94-98 (cash)'!C$61</f>
        <v>3859567.8990508467</v>
      </c>
      <c r="D5" s="227">
        <f>'94-98 (cash)'!D5:D7*'94-98 (cash)'!D$61</f>
        <v>3761059.938426085</v>
      </c>
      <c r="E5" s="227">
        <f>'94-98 (cash)'!E5:E7*'94-98 (cash)'!E$61</f>
        <v>3860448.084884697</v>
      </c>
      <c r="F5" s="4"/>
      <c r="G5" s="6"/>
      <c r="H5" s="6"/>
      <c r="I5" s="6"/>
      <c r="J5" s="6"/>
      <c r="K5" s="4"/>
      <c r="L5" s="1"/>
      <c r="M5" s="1"/>
      <c r="N5" s="1"/>
      <c r="O5" s="1"/>
      <c r="P5" s="1"/>
      <c r="Q5" s="1"/>
      <c r="R5" s="1"/>
      <c r="S5" s="1"/>
      <c r="T5" s="1"/>
      <c r="U5" s="1"/>
      <c r="V5" s="1"/>
      <c r="W5" s="1"/>
      <c r="X5" s="1"/>
      <c r="Y5" s="1"/>
      <c r="Z5" s="1"/>
      <c r="AA5" s="1"/>
      <c r="AB5" s="1"/>
      <c r="AC5" s="1"/>
      <c r="AD5" s="1"/>
      <c r="AE5" s="1"/>
      <c r="AF5" s="1"/>
      <c r="AG5" s="1"/>
      <c r="AH5" s="1"/>
      <c r="AI5" s="1"/>
      <c r="AJ5" s="1"/>
      <c r="AK5" s="1"/>
      <c r="AL5" s="1"/>
    </row>
    <row r="6" spans="1:38" s="5" customFormat="1" ht="11.25" customHeight="1">
      <c r="A6" s="21" t="s">
        <v>4</v>
      </c>
      <c r="B6" s="228"/>
      <c r="C6" s="228"/>
      <c r="D6" s="228"/>
      <c r="E6" s="228"/>
      <c r="F6" s="4"/>
      <c r="G6" s="6"/>
      <c r="H6" s="6"/>
      <c r="I6" s="6"/>
      <c r="J6" s="6"/>
      <c r="K6" s="4"/>
      <c r="L6" s="1"/>
      <c r="M6" s="1"/>
      <c r="N6" s="1"/>
      <c r="O6" s="1"/>
      <c r="P6" s="1"/>
      <c r="Q6" s="1"/>
      <c r="R6" s="1"/>
      <c r="S6" s="1"/>
      <c r="T6" s="1"/>
      <c r="U6" s="1"/>
      <c r="V6" s="1"/>
      <c r="W6" s="1"/>
      <c r="X6" s="1"/>
      <c r="Y6" s="1"/>
      <c r="Z6" s="1"/>
      <c r="AA6" s="1"/>
      <c r="AB6" s="1"/>
      <c r="AC6" s="1"/>
      <c r="AD6" s="1"/>
      <c r="AE6" s="1"/>
      <c r="AF6" s="1"/>
      <c r="AG6" s="1"/>
      <c r="AH6" s="1"/>
      <c r="AI6" s="1"/>
      <c r="AJ6" s="1"/>
      <c r="AK6" s="1"/>
      <c r="AL6" s="1"/>
    </row>
    <row r="7" spans="1:38" s="5" customFormat="1" ht="11.25" customHeight="1">
      <c r="A7" s="21" t="s">
        <v>5</v>
      </c>
      <c r="B7" s="228"/>
      <c r="C7" s="228"/>
      <c r="D7" s="228"/>
      <c r="E7" s="228"/>
      <c r="F7" s="4"/>
      <c r="G7" s="6"/>
      <c r="H7" s="6"/>
      <c r="I7" s="6"/>
      <c r="J7" s="6"/>
      <c r="K7" s="4"/>
      <c r="L7" s="1"/>
      <c r="M7" s="1"/>
      <c r="N7" s="1"/>
      <c r="O7" s="1"/>
      <c r="P7" s="1"/>
      <c r="Q7" s="1"/>
      <c r="R7" s="1"/>
      <c r="S7" s="1"/>
      <c r="T7" s="1"/>
      <c r="U7" s="1"/>
      <c r="V7" s="1"/>
      <c r="W7" s="1"/>
      <c r="X7" s="1"/>
      <c r="Y7" s="1"/>
      <c r="Z7" s="1"/>
      <c r="AA7" s="1"/>
      <c r="AB7" s="1"/>
      <c r="AC7" s="1"/>
      <c r="AD7" s="1"/>
      <c r="AE7" s="1"/>
      <c r="AF7" s="1"/>
      <c r="AG7" s="1"/>
      <c r="AH7" s="1"/>
      <c r="AI7" s="1"/>
      <c r="AJ7" s="1"/>
      <c r="AK7" s="1"/>
      <c r="AL7" s="1"/>
    </row>
    <row r="8" spans="1:38" s="5" customFormat="1" ht="11.25" customHeight="1">
      <c r="A8" s="21" t="s">
        <v>6</v>
      </c>
      <c r="B8" s="21">
        <f>'94-98 (cash)'!B8*'94-98 (cash)'!B$61</f>
        <v>425916.48037381103</v>
      </c>
      <c r="C8" s="21">
        <f>'94-98 (cash)'!C8*'94-98 (cash)'!C$61</f>
        <v>379248.3719620111</v>
      </c>
      <c r="D8" s="21">
        <f>'94-98 (cash)'!D8*'94-98 (cash)'!D$61</f>
        <v>332364.78384097904</v>
      </c>
      <c r="E8" s="21">
        <f>'94-98 (cash)'!E8*'94-98 (cash)'!E$61</f>
        <v>215694.0462149912</v>
      </c>
      <c r="F8" s="4"/>
      <c r="G8" s="6"/>
      <c r="H8" s="6"/>
      <c r="I8" s="6"/>
      <c r="J8" s="6"/>
      <c r="K8" s="4"/>
      <c r="L8" s="1"/>
      <c r="M8" s="1"/>
      <c r="N8" s="1"/>
      <c r="O8" s="1"/>
      <c r="P8" s="1"/>
      <c r="Q8" s="1"/>
      <c r="R8" s="1"/>
      <c r="S8" s="1"/>
      <c r="T8" s="1"/>
      <c r="U8" s="1"/>
      <c r="V8" s="1"/>
      <c r="W8" s="1"/>
      <c r="X8" s="1"/>
      <c r="Y8" s="1"/>
      <c r="Z8" s="1"/>
      <c r="AA8" s="1"/>
      <c r="AB8" s="1"/>
      <c r="AC8" s="1"/>
      <c r="AD8" s="1"/>
      <c r="AE8" s="1"/>
      <c r="AF8" s="1"/>
      <c r="AG8" s="1"/>
      <c r="AH8" s="1"/>
      <c r="AI8" s="1"/>
      <c r="AJ8" s="1"/>
      <c r="AK8" s="1"/>
      <c r="AL8" s="1"/>
    </row>
    <row r="9" spans="1:38" s="5" customFormat="1" ht="11.25" customHeight="1">
      <c r="A9" s="21" t="s">
        <v>7</v>
      </c>
      <c r="B9" s="21">
        <f>'94-98 (cash)'!B9*'94-98 (cash)'!B$61</f>
        <v>64153.50284216523</v>
      </c>
      <c r="C9" s="21">
        <f>'94-98 (cash)'!C9*'94-98 (cash)'!C$61</f>
        <v>63436.73374874257</v>
      </c>
      <c r="D9" s="21">
        <f>'94-98 (cash)'!D9*'94-98 (cash)'!D$61</f>
        <v>62147.38136747121</v>
      </c>
      <c r="E9" s="21">
        <f>'94-98 (cash)'!E9*'94-98 (cash)'!E$61</f>
        <v>60109.952610009175</v>
      </c>
      <c r="F9" s="4"/>
      <c r="G9" s="6"/>
      <c r="H9" s="6"/>
      <c r="I9" s="6"/>
      <c r="J9" s="6"/>
      <c r="K9" s="4"/>
      <c r="L9" s="1"/>
      <c r="M9" s="1"/>
      <c r="N9" s="1"/>
      <c r="O9" s="1"/>
      <c r="P9" s="1"/>
      <c r="Q9" s="1"/>
      <c r="R9" s="1"/>
      <c r="S9" s="1"/>
      <c r="T9" s="1"/>
      <c r="U9" s="1"/>
      <c r="V9" s="1"/>
      <c r="W9" s="1"/>
      <c r="X9" s="1"/>
      <c r="Y9" s="1"/>
      <c r="Z9" s="1"/>
      <c r="AA9" s="1"/>
      <c r="AB9" s="1"/>
      <c r="AC9" s="1"/>
      <c r="AD9" s="1"/>
      <c r="AE9" s="1"/>
      <c r="AF9" s="1"/>
      <c r="AG9" s="1"/>
      <c r="AH9" s="1"/>
      <c r="AI9" s="1"/>
      <c r="AJ9" s="1"/>
      <c r="AK9" s="1"/>
      <c r="AL9" s="1"/>
    </row>
    <row r="10" spans="1:38" s="5" customFormat="1" ht="11.25" customHeight="1">
      <c r="A10" s="20" t="s">
        <v>8</v>
      </c>
      <c r="B10" s="31">
        <f>'94-98 (cash)'!B10*'94-98 (cash)'!B$61</f>
        <v>4405831.132806988</v>
      </c>
      <c r="C10" s="31">
        <f>'94-98 (cash)'!C10*'94-98 (cash)'!C$61</f>
        <v>4302253.004761601</v>
      </c>
      <c r="D10" s="31">
        <f>'94-98 (cash)'!D10*'94-98 (cash)'!D$61</f>
        <v>4155572.103634535</v>
      </c>
      <c r="E10" s="31">
        <f>'94-98 (cash)'!E10*'94-98 (cash)'!E$61</f>
        <v>4136252.0837096977</v>
      </c>
      <c r="F10" s="4"/>
      <c r="G10" s="6"/>
      <c r="H10" s="6"/>
      <c r="I10" s="6"/>
      <c r="J10" s="6"/>
      <c r="K10" s="4"/>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s="5" customFormat="1" ht="12.75">
      <c r="A11" s="23" t="s">
        <v>0</v>
      </c>
      <c r="B11" s="21"/>
      <c r="C11" s="21"/>
      <c r="D11" s="21"/>
      <c r="E11" s="21"/>
      <c r="F11" s="17"/>
      <c r="G11" s="6"/>
      <c r="H11" s="6"/>
      <c r="I11" s="6"/>
      <c r="J11" s="6"/>
      <c r="K11" s="4"/>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s="5" customFormat="1" ht="11.25" customHeight="1">
      <c r="A12" s="24" t="s">
        <v>1</v>
      </c>
      <c r="B12" s="21"/>
      <c r="C12" s="21"/>
      <c r="D12" s="21"/>
      <c r="E12" s="21"/>
      <c r="F12" s="22"/>
      <c r="G12" s="6"/>
      <c r="H12" s="6"/>
      <c r="I12" s="6"/>
      <c r="J12" s="6"/>
      <c r="K12" s="4"/>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s="5" customFormat="1" ht="11.25" customHeight="1">
      <c r="A13" s="16" t="s">
        <v>37</v>
      </c>
      <c r="B13" s="21"/>
      <c r="C13" s="21"/>
      <c r="D13" s="21"/>
      <c r="E13" s="21"/>
      <c r="F13" s="4"/>
      <c r="G13" s="6"/>
      <c r="H13" s="6"/>
      <c r="I13" s="6"/>
      <c r="J13" s="6"/>
      <c r="K13" s="4"/>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s="5" customFormat="1" ht="11.25" customHeight="1">
      <c r="A14" s="21" t="s">
        <v>55</v>
      </c>
      <c r="B14" s="21">
        <f>'94-98 (cash)'!B14*'94-98 (cash)'!B$61</f>
        <v>1240891.5374918967</v>
      </c>
      <c r="C14" s="21">
        <f>'94-98 (cash)'!C14*'94-98 (cash)'!C$61</f>
        <v>1236838.9007988826</v>
      </c>
      <c r="D14" s="21">
        <f>'94-98 (cash)'!D14*'94-98 (cash)'!D$61</f>
        <v>1244168.0872033713</v>
      </c>
      <c r="E14" s="21">
        <f>'94-98 (cash)'!E14*'94-98 (cash)'!E$61</f>
        <v>1227435.285402182</v>
      </c>
      <c r="F14" s="4"/>
      <c r="G14" s="6"/>
      <c r="H14" s="6"/>
      <c r="I14" s="6"/>
      <c r="J14" s="6"/>
      <c r="K14" s="4"/>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5" s="9" customFormat="1" ht="12.75">
      <c r="A15" s="21" t="s">
        <v>56</v>
      </c>
      <c r="B15" s="21">
        <f>'94-98 (cash)'!B15*'94-98 (cash)'!B$61</f>
        <v>483889.9895715671</v>
      </c>
      <c r="C15" s="21">
        <f>'94-98 (cash)'!C15*'94-98 (cash)'!C$61</f>
        <v>521390.9771103103</v>
      </c>
      <c r="D15" s="21">
        <f>'94-98 (cash)'!D15*'94-98 (cash)'!D$61</f>
        <v>571401.7498709308</v>
      </c>
      <c r="E15" s="21">
        <f>'94-98 (cash)'!E15*'94-98 (cash)'!E$61</f>
        <v>618324.384026676</v>
      </c>
    </row>
    <row r="16" spans="1:14" s="9" customFormat="1" ht="12.75">
      <c r="A16" s="25" t="s">
        <v>11</v>
      </c>
      <c r="B16" s="21">
        <f>'94-98 (cash)'!B16*'94-98 (cash)'!B$61</f>
        <v>273742.6052028302</v>
      </c>
      <c r="C16" s="21">
        <f>'94-98 (cash)'!C16*'94-98 (cash)'!C$61</f>
        <v>300013.3060860165</v>
      </c>
      <c r="D16" s="21">
        <f>'94-98 (cash)'!D16*'94-98 (cash)'!D$61</f>
        <v>308891.3912564601</v>
      </c>
      <c r="E16" s="21">
        <f>'94-98 (cash)'!E16*'94-98 (cash)'!E$61</f>
        <v>318477.0917310041</v>
      </c>
      <c r="F16" s="14"/>
      <c r="G16" s="28"/>
      <c r="H16" s="28"/>
      <c r="I16" s="28"/>
      <c r="J16" s="28"/>
      <c r="K16" s="28"/>
      <c r="L16" s="28"/>
      <c r="M16" s="28"/>
      <c r="N16" s="28"/>
    </row>
    <row r="17" spans="1:5" s="9" customFormat="1" ht="12.75">
      <c r="A17" s="25" t="s">
        <v>12</v>
      </c>
      <c r="B17" s="21"/>
      <c r="C17" s="21"/>
      <c r="D17" s="21"/>
      <c r="E17" s="21"/>
    </row>
    <row r="18" spans="1:5" s="9" customFormat="1" ht="12.75">
      <c r="A18" s="26" t="s">
        <v>13</v>
      </c>
      <c r="B18" s="21">
        <f>'94-98 (cash)'!B18*'94-98 (cash)'!B$61</f>
        <v>181135.53844365335</v>
      </c>
      <c r="C18" s="21">
        <f>'94-98 (cash)'!C18*'94-98 (cash)'!C$61</f>
        <v>191517.53967416502</v>
      </c>
      <c r="D18" s="21">
        <f>'94-98 (cash)'!D18*'94-98 (cash)'!D$61</f>
        <v>201864.53426847392</v>
      </c>
      <c r="E18" s="21">
        <f>'94-98 (cash)'!E18*'94-98 (cash)'!E$61</f>
        <v>206599.74294139846</v>
      </c>
    </row>
    <row r="19" spans="1:5" s="9" customFormat="1" ht="12.75">
      <c r="A19" s="25" t="s">
        <v>14</v>
      </c>
      <c r="B19" s="21">
        <f>'94-98 (cash)'!B19*'94-98 (cash)'!B$61</f>
        <v>197257.97009698302</v>
      </c>
      <c r="C19" s="21">
        <f>'94-98 (cash)'!C19*'94-98 (cash)'!C$61</f>
        <v>316400.17028546263</v>
      </c>
      <c r="D19" s="21">
        <f>'94-98 (cash)'!D19*'94-98 (cash)'!D$61</f>
        <v>381037.2921271143</v>
      </c>
      <c r="E19" s="21">
        <f>'94-98 (cash)'!E19*'94-98 (cash)'!E$61</f>
        <v>375152.61554678984</v>
      </c>
    </row>
    <row r="20" spans="1:5" s="9" customFormat="1" ht="12.75">
      <c r="A20" s="27" t="s">
        <v>8</v>
      </c>
      <c r="B20" s="31">
        <f>'94-98 (cash)'!B20*'94-98 (cash)'!B$61</f>
        <v>2376917.6408069306</v>
      </c>
      <c r="C20" s="31">
        <f>'94-98 (cash)'!C20*'94-98 (cash)'!C$61</f>
        <v>2566160.893954837</v>
      </c>
      <c r="D20" s="31">
        <f>'94-98 (cash)'!D20*'94-98 (cash)'!D$61</f>
        <v>2707363.0547263506</v>
      </c>
      <c r="E20" s="31">
        <f>'94-98 (cash)'!E20*'94-98 (cash)'!E$61</f>
        <v>2745989.1196480505</v>
      </c>
    </row>
    <row r="21" spans="1:5" s="9" customFormat="1" ht="12.75">
      <c r="A21" s="21"/>
      <c r="B21" s="21"/>
      <c r="C21" s="21"/>
      <c r="D21" s="21"/>
      <c r="E21" s="21"/>
    </row>
    <row r="22" spans="1:14" ht="12.75">
      <c r="A22" s="12" t="s">
        <v>16</v>
      </c>
      <c r="B22" s="21"/>
      <c r="C22" s="21"/>
      <c r="D22" s="21"/>
      <c r="E22" s="21"/>
      <c r="F22" s="4"/>
      <c r="G22" s="4"/>
      <c r="H22" s="4"/>
      <c r="I22" s="4"/>
      <c r="J22" s="4"/>
      <c r="K22" s="4"/>
      <c r="L22" s="4"/>
      <c r="M22" s="4"/>
      <c r="N22" s="4"/>
    </row>
    <row r="23" spans="1:14" ht="12.75">
      <c r="A23" s="10" t="s">
        <v>24</v>
      </c>
      <c r="B23" s="21">
        <f>'94-98 (cash)'!B23*'94-98 (cash)'!B$61</f>
        <v>13102.690544500423</v>
      </c>
      <c r="C23" s="21">
        <f>'94-98 (cash)'!C23*'94-98 (cash)'!C$61</f>
        <v>15646.960709506591</v>
      </c>
      <c r="D23" s="21">
        <f>'94-98 (cash)'!D23*'94-98 (cash)'!D$61</f>
        <v>13393.034665473584</v>
      </c>
      <c r="E23" s="21">
        <f>'94-98 (cash)'!E23*'94-98 (cash)'!E$61</f>
        <v>12628.430200981835</v>
      </c>
      <c r="F23" s="4"/>
      <c r="G23" s="4"/>
      <c r="H23" s="4"/>
      <c r="I23" s="4"/>
      <c r="J23" s="4"/>
      <c r="K23" s="4"/>
      <c r="L23" s="4"/>
      <c r="M23" s="4"/>
      <c r="N23" s="4"/>
    </row>
    <row r="24" spans="1:14" ht="12.75">
      <c r="A24" s="10" t="s">
        <v>41</v>
      </c>
      <c r="B24" s="21">
        <f>'94-98 (cash)'!B24*'94-98 (cash)'!B$61</f>
        <v>18107.155556182937</v>
      </c>
      <c r="C24" s="21">
        <f>'94-98 (cash)'!C24*'94-98 (cash)'!C$61</f>
        <v>24399.861569216646</v>
      </c>
      <c r="D24" s="21">
        <f>'94-98 (cash)'!D24*'94-98 (cash)'!D$61</f>
        <v>26338.923203699247</v>
      </c>
      <c r="E24" s="21">
        <f>'94-98 (cash)'!E24*'94-98 (cash)'!E$61</f>
        <v>23722.42591565562</v>
      </c>
      <c r="F24" s="4"/>
      <c r="G24" s="4"/>
      <c r="H24" s="4"/>
      <c r="I24" s="4"/>
      <c r="J24" s="4"/>
      <c r="K24" s="4"/>
      <c r="L24" s="4"/>
      <c r="M24" s="4"/>
      <c r="N24" s="4"/>
    </row>
    <row r="25" spans="1:14" ht="12.75">
      <c r="A25" s="10" t="s">
        <v>25</v>
      </c>
      <c r="B25" s="21">
        <f>'94-98 (cash)'!B25*'94-98 (cash)'!B$61</f>
        <v>0</v>
      </c>
      <c r="C25" s="21">
        <f>'94-98 (cash)'!C25*'94-98 (cash)'!C$61</f>
        <v>0</v>
      </c>
      <c r="D25" s="21">
        <f>'94-98 (cash)'!D25*'94-98 (cash)'!D$61</f>
        <v>0</v>
      </c>
      <c r="E25" s="21">
        <f>'94-98 (cash)'!E25*'94-98 (cash)'!E$61</f>
        <v>0</v>
      </c>
      <c r="F25" s="4"/>
      <c r="G25" s="4"/>
      <c r="H25" s="4"/>
      <c r="I25" s="4"/>
      <c r="J25" s="4"/>
      <c r="K25" s="4"/>
      <c r="L25" s="4"/>
      <c r="M25" s="4"/>
      <c r="N25" s="4"/>
    </row>
    <row r="26" spans="1:14" ht="22.5">
      <c r="A26" s="10" t="s">
        <v>19</v>
      </c>
      <c r="B26" s="21">
        <f>'94-98 (cash)'!B26*'94-98 (cash)'!B$61</f>
        <v>109306.59891523252</v>
      </c>
      <c r="C26" s="21">
        <f>'94-98 (cash)'!C26*'94-98 (cash)'!C$61</f>
        <v>130252.07754156248</v>
      </c>
      <c r="D26" s="21">
        <f>'94-98 (cash)'!D26*'94-98 (cash)'!D$61</f>
        <v>153928.5717250998</v>
      </c>
      <c r="E26" s="21">
        <f>'94-98 (cash)'!E26*'94-98 (cash)'!E$61</f>
        <v>151784.10498915118</v>
      </c>
      <c r="F26" s="4"/>
      <c r="G26" s="4"/>
      <c r="H26" s="4"/>
      <c r="I26" s="4"/>
      <c r="J26" s="4"/>
      <c r="K26" s="4"/>
      <c r="L26" s="4"/>
      <c r="M26" s="4"/>
      <c r="N26" s="4"/>
    </row>
    <row r="27" spans="1:14" ht="12.75">
      <c r="A27" s="10" t="s">
        <v>20</v>
      </c>
      <c r="B27" s="21">
        <f>'94-98 (cash)'!B27*'94-98 (cash)'!B$61</f>
        <v>75572.56539827811</v>
      </c>
      <c r="C27" s="21">
        <f>'94-98 (cash)'!C27*'94-98 (cash)'!C$61</f>
        <v>80175.99060869997</v>
      </c>
      <c r="D27" s="21">
        <f>'94-98 (cash)'!D27*'94-98 (cash)'!D$61</f>
        <v>86834.11742194934</v>
      </c>
      <c r="E27" s="21">
        <f>'94-98 (cash)'!E27*'94-98 (cash)'!E$61</f>
        <v>89737.48749351047</v>
      </c>
      <c r="F27" s="4"/>
      <c r="G27" s="4"/>
      <c r="H27" s="4"/>
      <c r="I27" s="4"/>
      <c r="J27" s="4"/>
      <c r="K27" s="4"/>
      <c r="L27" s="4"/>
      <c r="M27" s="4"/>
      <c r="N27" s="4"/>
    </row>
    <row r="28" spans="1:14" ht="12.75">
      <c r="A28" s="10" t="s">
        <v>21</v>
      </c>
      <c r="B28" s="21">
        <f>'94-98 (cash)'!B28*'94-98 (cash)'!B$61</f>
        <v>31567.39749911142</v>
      </c>
      <c r="C28" s="21">
        <f>'94-98 (cash)'!C28*'94-98 (cash)'!C$61</f>
        <v>37426.28029471486</v>
      </c>
      <c r="D28" s="21">
        <f>'94-98 (cash)'!D28*'94-98 (cash)'!D$61</f>
        <v>45886.44395482129</v>
      </c>
      <c r="E28" s="21">
        <f>'94-98 (cash)'!E28*'94-98 (cash)'!E$61</f>
        <v>52044.7174235745</v>
      </c>
      <c r="F28" s="4"/>
      <c r="G28" s="4"/>
      <c r="H28" s="4"/>
      <c r="I28" s="4"/>
      <c r="J28" s="4"/>
      <c r="K28" s="4"/>
      <c r="L28" s="4"/>
      <c r="M28" s="4"/>
      <c r="N28" s="4"/>
    </row>
    <row r="29" spans="1:14" ht="12.75">
      <c r="A29" s="10" t="s">
        <v>22</v>
      </c>
      <c r="B29" s="21">
        <f>'94-98 (cash)'!B29*'94-98 (cash)'!B$61</f>
        <v>10011.439155985578</v>
      </c>
      <c r="C29" s="21">
        <f>'94-98 (cash)'!C29*'94-98 (cash)'!C$61</f>
        <v>9179.162772081105</v>
      </c>
      <c r="D29" s="21">
        <f>'94-98 (cash)'!D29*'94-98 (cash)'!D$61</f>
        <v>13560.269689192302</v>
      </c>
      <c r="E29" s="21">
        <f>'94-98 (cash)'!E29*'94-98 (cash)'!E$61</f>
        <v>17569.79054822627</v>
      </c>
      <c r="F29" s="4"/>
      <c r="G29" s="4"/>
      <c r="H29" s="4"/>
      <c r="I29" s="4"/>
      <c r="J29" s="4"/>
      <c r="K29" s="4"/>
      <c r="L29" s="4"/>
      <c r="M29" s="4"/>
      <c r="N29" s="4"/>
    </row>
    <row r="30" spans="1:14" ht="12.75">
      <c r="A30" s="10" t="s">
        <v>23</v>
      </c>
      <c r="B30" s="21">
        <f>'94-98 (cash)'!B30*'94-98 (cash)'!B$61</f>
        <v>173590.57665366624</v>
      </c>
      <c r="C30" s="21">
        <f>'94-98 (cash)'!C30*'94-98 (cash)'!C$61</f>
        <v>180587.3123416051</v>
      </c>
      <c r="D30" s="21">
        <f>'94-98 (cash)'!D30*'94-98 (cash)'!D$61</f>
        <v>205506.9368063476</v>
      </c>
      <c r="E30" s="21">
        <f>'94-98 (cash)'!E30*'94-98 (cash)'!E$61</f>
        <v>212664.13973119843</v>
      </c>
      <c r="F30" s="4"/>
      <c r="G30" s="4"/>
      <c r="H30" s="4"/>
      <c r="I30" s="4"/>
      <c r="J30" s="4"/>
      <c r="K30" s="4"/>
      <c r="L30" s="4"/>
      <c r="M30" s="4"/>
      <c r="N30" s="4"/>
    </row>
    <row r="31" spans="1:14" ht="12.75">
      <c r="A31" s="11" t="s">
        <v>8</v>
      </c>
      <c r="B31" s="31">
        <f>'94-98 (cash)'!B31*'94-98 (cash)'!B$61</f>
        <v>431258.4237229572</v>
      </c>
      <c r="C31" s="31">
        <f>'94-98 (cash)'!C31*'94-98 (cash)'!C$61</f>
        <v>477667.6458373868</v>
      </c>
      <c r="D31" s="31">
        <f>'94-98 (cash)'!D31*'94-98 (cash)'!D$61</f>
        <v>545448.2974665832</v>
      </c>
      <c r="E31" s="31">
        <f>'94-98 (cash)'!E31*'94-98 (cash)'!E$61</f>
        <v>560151.0963022984</v>
      </c>
      <c r="F31" s="4"/>
      <c r="G31" s="4"/>
      <c r="H31" s="4"/>
      <c r="I31" s="4"/>
      <c r="J31" s="4"/>
      <c r="K31" s="4"/>
      <c r="L31" s="4"/>
      <c r="M31" s="4"/>
      <c r="N31" s="4"/>
    </row>
    <row r="32" spans="1:14" ht="12.75">
      <c r="A32" s="12"/>
      <c r="B32" s="21"/>
      <c r="C32" s="21"/>
      <c r="D32" s="21"/>
      <c r="E32" s="21"/>
      <c r="F32" s="4"/>
      <c r="G32" s="4"/>
      <c r="H32" s="4"/>
      <c r="I32" s="4"/>
      <c r="J32" s="4"/>
      <c r="K32" s="4"/>
      <c r="L32" s="4"/>
      <c r="M32" s="4"/>
      <c r="N32" s="4"/>
    </row>
    <row r="33" spans="1:14" ht="12.75">
      <c r="A33" s="13" t="s">
        <v>15</v>
      </c>
      <c r="B33" s="21"/>
      <c r="C33" s="21"/>
      <c r="D33" s="21"/>
      <c r="E33" s="21"/>
      <c r="F33" s="4"/>
      <c r="G33" s="4"/>
      <c r="H33" s="4"/>
      <c r="I33" s="4"/>
      <c r="J33" s="4"/>
      <c r="K33" s="4"/>
      <c r="L33" s="4"/>
      <c r="M33" s="4"/>
      <c r="N33" s="4"/>
    </row>
    <row r="34" spans="1:14" ht="12.75">
      <c r="A34" s="10" t="s">
        <v>17</v>
      </c>
      <c r="B34" s="21">
        <f>'94-98 (cash)'!B34*'94-98 (cash)'!B$61</f>
        <v>522775.2723585061</v>
      </c>
      <c r="C34" s="21">
        <f>'94-98 (cash)'!C34*'94-98 (cash)'!C$61</f>
        <v>539884.9314447724</v>
      </c>
      <c r="D34" s="21">
        <f>'94-98 (cash)'!D34*'94-98 (cash)'!D$61</f>
        <v>521194.4747713769</v>
      </c>
      <c r="E34" s="21">
        <f>'94-98 (cash)'!E34*'94-98 (cash)'!E$61</f>
        <v>510381.1006526756</v>
      </c>
      <c r="F34" s="4"/>
      <c r="G34" s="4"/>
      <c r="H34" s="4"/>
      <c r="I34" s="4"/>
      <c r="J34" s="4"/>
      <c r="K34" s="4"/>
      <c r="L34" s="4"/>
      <c r="M34" s="4"/>
      <c r="N34" s="4"/>
    </row>
    <row r="35" spans="1:14" ht="12.75">
      <c r="A35" s="10" t="s">
        <v>18</v>
      </c>
      <c r="B35" s="21">
        <f>'94-98 (cash)'!B35*'94-98 (cash)'!B$61</f>
        <v>336309.081662499</v>
      </c>
      <c r="C35" s="21">
        <f>'94-98 (cash)'!C35*'94-98 (cash)'!C$61</f>
        <v>350845.0391362641</v>
      </c>
      <c r="D35" s="21">
        <f>'94-98 (cash)'!D35*'94-98 (cash)'!D$61</f>
        <v>367707.118853535</v>
      </c>
      <c r="E35" s="21">
        <f>'94-98 (cash)'!E35*'94-98 (cash)'!E$61</f>
        <v>387131.28894886456</v>
      </c>
      <c r="F35" s="4"/>
      <c r="G35" s="4"/>
      <c r="H35" s="4"/>
      <c r="I35" s="4"/>
      <c r="J35" s="4"/>
      <c r="K35" s="4"/>
      <c r="L35" s="4"/>
      <c r="M35" s="4"/>
      <c r="N35" s="4"/>
    </row>
    <row r="36" spans="1:14" ht="22.5">
      <c r="A36" s="10" t="s">
        <v>19</v>
      </c>
      <c r="B36" s="21">
        <f>'94-98 (cash)'!B36*'94-98 (cash)'!B$61</f>
        <v>242025.91431279623</v>
      </c>
      <c r="C36" s="21">
        <f>'94-98 (cash)'!C36*'94-98 (cash)'!C$61</f>
        <v>264284.8076127341</v>
      </c>
      <c r="D36" s="21">
        <f>'94-98 (cash)'!D36*'94-98 (cash)'!D$61</f>
        <v>282323.5577011459</v>
      </c>
      <c r="E36" s="21">
        <f>'94-98 (cash)'!E36*'94-98 (cash)'!E$61</f>
        <v>274802.4336711294</v>
      </c>
      <c r="F36" s="4"/>
      <c r="G36" s="4"/>
      <c r="H36" s="4"/>
      <c r="I36" s="4"/>
      <c r="J36" s="4"/>
      <c r="K36" s="4"/>
      <c r="L36" s="4"/>
      <c r="M36" s="4"/>
      <c r="N36" s="4"/>
    </row>
    <row r="37" spans="1:14" ht="12.75">
      <c r="A37" s="10" t="s">
        <v>20</v>
      </c>
      <c r="B37" s="21">
        <f>'94-98 (cash)'!B37*'94-98 (cash)'!B$61</f>
        <v>162966.909138267</v>
      </c>
      <c r="C37" s="21">
        <f>'94-98 (cash)'!C37*'94-98 (cash)'!C$61</f>
        <v>169481.49416446057</v>
      </c>
      <c r="D37" s="21">
        <f>'94-98 (cash)'!D37*'94-98 (cash)'!D$61</f>
        <v>184263.34453807824</v>
      </c>
      <c r="E37" s="21">
        <f>'94-98 (cash)'!E37*'94-98 (cash)'!E$61</f>
        <v>195137.89549401004</v>
      </c>
      <c r="F37" s="4"/>
      <c r="G37" s="4"/>
      <c r="H37" s="4"/>
      <c r="I37" s="4"/>
      <c r="J37" s="4"/>
      <c r="K37" s="4"/>
      <c r="L37" s="4"/>
      <c r="M37" s="4"/>
      <c r="N37" s="4"/>
    </row>
    <row r="38" spans="1:14" ht="12.75">
      <c r="A38" s="10" t="s">
        <v>21</v>
      </c>
      <c r="B38" s="21">
        <f>'94-98 (cash)'!B38*'94-98 (cash)'!B$61</f>
        <v>143772.0445910766</v>
      </c>
      <c r="C38" s="21">
        <f>'94-98 (cash)'!C38*'94-98 (cash)'!C$61</f>
        <v>145655.63301133446</v>
      </c>
      <c r="D38" s="21">
        <f>'94-98 (cash)'!D38*'94-98 (cash)'!D$61</f>
        <v>152941.7664787596</v>
      </c>
      <c r="E38" s="21">
        <f>'94-98 (cash)'!E38*'94-98 (cash)'!E$61</f>
        <v>158965.80844373858</v>
      </c>
      <c r="F38" s="4"/>
      <c r="G38" s="4"/>
      <c r="H38" s="4"/>
      <c r="I38" s="4"/>
      <c r="J38" s="4"/>
      <c r="K38" s="4"/>
      <c r="L38" s="4"/>
      <c r="M38" s="4"/>
      <c r="N38" s="4"/>
    </row>
    <row r="39" spans="1:14" ht="12.75">
      <c r="A39" s="10" t="s">
        <v>22</v>
      </c>
      <c r="B39" s="21">
        <f>'94-98 (cash)'!B39*'94-98 (cash)'!B$61</f>
        <v>60113.79932308333</v>
      </c>
      <c r="C39" s="21">
        <f>'94-98 (cash)'!C39*'94-98 (cash)'!C$61</f>
        <v>63401.61557982564</v>
      </c>
      <c r="D39" s="21">
        <f>'94-98 (cash)'!D39*'94-98 (cash)'!D$61</f>
        <v>71397.49448791298</v>
      </c>
      <c r="E39" s="21">
        <f>'94-98 (cash)'!E39*'94-98 (cash)'!E$61</f>
        <v>78337.52164601798</v>
      </c>
      <c r="F39" s="4"/>
      <c r="G39" s="4"/>
      <c r="H39" s="4"/>
      <c r="I39" s="4"/>
      <c r="J39" s="4"/>
      <c r="K39" s="4"/>
      <c r="L39" s="4"/>
      <c r="M39" s="4"/>
      <c r="N39" s="4"/>
    </row>
    <row r="40" spans="1:14" ht="12.75">
      <c r="A40" s="10" t="s">
        <v>23</v>
      </c>
      <c r="B40" s="21">
        <f>'94-98 (cash)'!B40*'94-98 (cash)'!B$61</f>
        <v>38385.965395449966</v>
      </c>
      <c r="C40" s="21">
        <f>'94-98 (cash)'!C40*'94-98 (cash)'!C$61</f>
        <v>33760.67004259223</v>
      </c>
      <c r="D40" s="21">
        <f>'94-98 (cash)'!D40*'94-98 (cash)'!D$61</f>
        <v>39901.56502088756</v>
      </c>
      <c r="E40" s="21">
        <f>'94-98 (cash)'!E40*'94-98 (cash)'!E$61</f>
        <v>35090.30500764653</v>
      </c>
      <c r="F40" s="4"/>
      <c r="G40" s="4"/>
      <c r="H40" s="4"/>
      <c r="I40" s="4"/>
      <c r="J40" s="4"/>
      <c r="K40" s="4"/>
      <c r="L40" s="4"/>
      <c r="M40" s="4"/>
      <c r="N40" s="4"/>
    </row>
    <row r="41" spans="1:14" ht="12.75">
      <c r="A41" s="11" t="s">
        <v>8</v>
      </c>
      <c r="B41" s="31">
        <f>'94-98 (cash)'!B41*'94-98 (cash)'!B$61</f>
        <v>1506348.9867816782</v>
      </c>
      <c r="C41" s="31">
        <f>'94-98 (cash)'!C41*'94-98 (cash)'!C$61</f>
        <v>1567314.1909919835</v>
      </c>
      <c r="D41" s="31">
        <f>'94-98 (cash)'!D41*'94-98 (cash)'!D$61</f>
        <v>1619729.3218516961</v>
      </c>
      <c r="E41" s="31">
        <f>'94-98 (cash)'!E41*'94-98 (cash)'!E$61</f>
        <v>1639846.3538640826</v>
      </c>
      <c r="F41" s="4"/>
      <c r="G41" s="4"/>
      <c r="H41" s="4"/>
      <c r="I41" s="4"/>
      <c r="J41" s="4"/>
      <c r="K41" s="4"/>
      <c r="L41" s="4"/>
      <c r="M41" s="4"/>
      <c r="N41" s="4"/>
    </row>
    <row r="42" spans="1:5" ht="12.75">
      <c r="A42" s="9"/>
      <c r="B42" s="21"/>
      <c r="C42" s="21"/>
      <c r="D42" s="21"/>
      <c r="E42" s="21"/>
    </row>
    <row r="43" spans="1:7" ht="12.75">
      <c r="A43" s="8" t="s">
        <v>26</v>
      </c>
      <c r="B43" s="21"/>
      <c r="C43" s="21"/>
      <c r="D43" s="21"/>
      <c r="E43" s="21"/>
      <c r="G43" s="7"/>
    </row>
    <row r="44" spans="1:5" ht="12.75">
      <c r="A44" s="10" t="s">
        <v>28</v>
      </c>
      <c r="B44" s="21">
        <f>'94-98 (cash)'!B44*'94-98 (cash)'!B$61</f>
        <v>685833.7648374231</v>
      </c>
      <c r="C44" s="21">
        <f>'94-98 (cash)'!C44*'94-98 (cash)'!C$61</f>
        <v>720609.0835480194</v>
      </c>
      <c r="D44" s="21">
        <f>'94-98 (cash)'!D44*'94-98 (cash)'!D$61</f>
        <v>756037.5185043826</v>
      </c>
      <c r="E44" s="21">
        <f>'94-98 (cash)'!E44*'94-98 (cash)'!E$61</f>
        <v>778338.7418019843</v>
      </c>
    </row>
    <row r="45" spans="1:5" ht="12.75">
      <c r="A45" s="10" t="s">
        <v>29</v>
      </c>
      <c r="B45" s="21">
        <f>'94-98 (cash)'!B45*'94-98 (cash)'!B$61</f>
        <v>2159.108619981351</v>
      </c>
      <c r="C45" s="21">
        <f>'94-98 (cash)'!C45*'94-98 (cash)'!C$61</f>
        <v>1346.6001322630855</v>
      </c>
      <c r="D45" s="21">
        <f>'94-98 (cash)'!D45*'94-98 (cash)'!D$61</f>
        <v>1526.464365432563</v>
      </c>
      <c r="E45" s="21">
        <f>'94-98 (cash)'!E45*'94-98 (cash)'!E$61</f>
        <v>1320.1407977795893</v>
      </c>
    </row>
    <row r="46" spans="1:5" ht="12.75">
      <c r="A46" s="10" t="s">
        <v>30</v>
      </c>
      <c r="B46" s="21">
        <f>'94-98 (cash)'!B46*'94-98 (cash)'!B$61</f>
        <v>138070.04071088182</v>
      </c>
      <c r="C46" s="21">
        <f>'94-98 (cash)'!C46*'94-98 (cash)'!C$61</f>
        <v>168213.6071694251</v>
      </c>
      <c r="D46" s="21">
        <f>'94-98 (cash)'!D46*'94-98 (cash)'!D$61</f>
        <v>166266.00943234886</v>
      </c>
      <c r="E46" s="21">
        <f>'94-98 (cash)'!E46*'94-98 (cash)'!E$61</f>
        <v>182206.9330268704</v>
      </c>
    </row>
    <row r="47" spans="1:5" ht="12.75">
      <c r="A47" s="10" t="s">
        <v>6</v>
      </c>
      <c r="B47" s="21">
        <f>'94-98 (cash)'!B47*'94-98 (cash)'!B$61</f>
        <v>21877.127318555955</v>
      </c>
      <c r="C47" s="21">
        <f>'94-98 (cash)'!C47*'94-98 (cash)'!C$61</f>
        <v>23716.8737323494</v>
      </c>
      <c r="D47" s="21">
        <f>'94-98 (cash)'!D47*'94-98 (cash)'!D$61</f>
        <v>22054.860042904827</v>
      </c>
      <c r="E47" s="21">
        <f>'94-98 (cash)'!E47*'94-98 (cash)'!E$61</f>
        <v>25279.779513036232</v>
      </c>
    </row>
    <row r="48" spans="1:5" ht="12.75">
      <c r="A48" s="10" t="s">
        <v>31</v>
      </c>
      <c r="B48" s="21">
        <f>'94-98 (cash)'!B48*'94-98 (cash)'!B$61</f>
        <v>3167.779933441552</v>
      </c>
      <c r="C48" s="21">
        <f>'94-98 (cash)'!C48*'94-98 (cash)'!C$61</f>
        <v>4005.893199214287</v>
      </c>
      <c r="D48" s="21">
        <f>'94-98 (cash)'!D48*'94-98 (cash)'!D$61</f>
        <v>10105.265263003448</v>
      </c>
      <c r="E48" s="21">
        <f>'94-98 (cash)'!E48*'94-98 (cash)'!E$61</f>
        <v>15225.165485503145</v>
      </c>
    </row>
    <row r="49" spans="1:5" ht="12.75">
      <c r="A49" s="10" t="s">
        <v>47</v>
      </c>
      <c r="B49" s="21">
        <f>'94-98 (cash)'!B49*'94-98 (cash)'!B$61</f>
        <v>0</v>
      </c>
      <c r="C49" s="21">
        <f>'94-98 (cash)'!C49*'94-98 (cash)'!C$61</f>
        <v>0</v>
      </c>
      <c r="D49" s="21">
        <f>'94-98 (cash)'!D49*'94-98 (cash)'!D$61</f>
        <v>0</v>
      </c>
      <c r="E49" s="21">
        <f>'94-98 (cash)'!E49*'94-98 (cash)'!E$61</f>
        <v>0</v>
      </c>
    </row>
    <row r="50" spans="1:5" ht="12.75">
      <c r="A50" s="10" t="s">
        <v>32</v>
      </c>
      <c r="B50" s="21">
        <f>'94-98 (cash)'!B50*'94-98 (cash)'!B$61</f>
        <v>454835.48839193425</v>
      </c>
      <c r="C50" s="21">
        <f>'94-98 (cash)'!C50*'94-98 (cash)'!C$61</f>
        <v>498022.8631244463</v>
      </c>
      <c r="D50" s="21">
        <f>'94-98 (cash)'!D50*'94-98 (cash)'!D$61</f>
        <v>545490.9957705113</v>
      </c>
      <c r="E50" s="21">
        <f>'94-98 (cash)'!E50*'94-98 (cash)'!E$61</f>
        <v>519329.8675709576</v>
      </c>
    </row>
    <row r="51" spans="1:5" ht="12.75">
      <c r="A51" s="11" t="s">
        <v>8</v>
      </c>
      <c r="B51" s="31">
        <f>'94-98 (cash)'!B51*'94-98 (cash)'!B$61</f>
        <v>1305943.309812218</v>
      </c>
      <c r="C51" s="31">
        <f>'94-98 (cash)'!C51*'94-98 (cash)'!C$61</f>
        <v>1415914.9209057176</v>
      </c>
      <c r="D51" s="31">
        <f>'94-98 (cash)'!D51*'94-98 (cash)'!D$61</f>
        <v>1501481.1133785837</v>
      </c>
      <c r="E51" s="31">
        <f>'94-98 (cash)'!E51*'94-98 (cash)'!E$61</f>
        <v>1521700.6281961312</v>
      </c>
    </row>
    <row r="52" spans="1:5" ht="12.75">
      <c r="A52" s="11" t="s">
        <v>27</v>
      </c>
      <c r="B52" s="21"/>
      <c r="C52" s="21"/>
      <c r="D52" s="21"/>
      <c r="E52" s="21"/>
    </row>
    <row r="53" spans="1:5" ht="12.75">
      <c r="A53" s="10" t="s">
        <v>33</v>
      </c>
      <c r="B53" s="21">
        <f>'94-98 (cash)'!B53*'94-98 (cash)'!B$61</f>
        <v>83545.33430006863</v>
      </c>
      <c r="C53" s="21">
        <f>'94-98 (cash)'!C53*'94-98 (cash)'!C$61</f>
        <v>76803.43542133244</v>
      </c>
      <c r="D53" s="21">
        <f>'94-98 (cash)'!D53*'94-98 (cash)'!D$61</f>
        <v>82078.0007899489</v>
      </c>
      <c r="E53" s="21">
        <f>'94-98 (cash)'!E53*'94-98 (cash)'!E$61</f>
        <v>80417.43097585301</v>
      </c>
    </row>
    <row r="54" spans="1:5" ht="12.75">
      <c r="A54" s="10" t="s">
        <v>34</v>
      </c>
      <c r="B54" s="21">
        <f>'94-98 (cash)'!B54*'94-98 (cash)'!B$61</f>
        <v>28198.886956026046</v>
      </c>
      <c r="C54" s="21">
        <f>'94-98 (cash)'!C54*'94-98 (cash)'!C$61</f>
        <v>31249.115479360542</v>
      </c>
      <c r="D54" s="21">
        <f>'94-98 (cash)'!D54*'94-98 (cash)'!D$61</f>
        <v>31463.90573907928</v>
      </c>
      <c r="E54" s="21">
        <f>'94-98 (cash)'!E54*'94-98 (cash)'!E$61</f>
        <v>29233.32617305323</v>
      </c>
    </row>
    <row r="55" spans="1:5" ht="12.75">
      <c r="A55" s="10" t="s">
        <v>35</v>
      </c>
      <c r="B55" s="21">
        <f>'94-98 (cash)'!B55*'94-98 (cash)'!B$61</f>
        <v>137561.9413552209</v>
      </c>
      <c r="C55" s="21">
        <f>'94-98 (cash)'!C55*'94-98 (cash)'!C$61</f>
        <v>153080.09830891088</v>
      </c>
      <c r="D55" s="21">
        <f>'94-98 (cash)'!D55*'94-98 (cash)'!D$61</f>
        <v>154129.01654076268</v>
      </c>
      <c r="E55" s="21">
        <f>'94-98 (cash)'!E55*'94-98 (cash)'!E$61</f>
        <v>173356.71828620046</v>
      </c>
    </row>
    <row r="56" spans="1:5" ht="12.75">
      <c r="A56" s="11" t="s">
        <v>8</v>
      </c>
      <c r="B56" s="31">
        <f>'94-98 (cash)'!B56*'94-98 (cash)'!B$61</f>
        <v>249306.16261131555</v>
      </c>
      <c r="C56" s="31">
        <f>'94-98 (cash)'!C56*'94-98 (cash)'!C$61</f>
        <v>261132.64920960387</v>
      </c>
      <c r="D56" s="31">
        <f>'94-98 (cash)'!D56*'94-98 (cash)'!D$61</f>
        <v>267670.9230697909</v>
      </c>
      <c r="E56" s="31">
        <f>'94-98 (cash)'!E56*'94-98 (cash)'!E$61</f>
        <v>283007.47543510667</v>
      </c>
    </row>
    <row r="57" spans="1:5" ht="12.75">
      <c r="A57" s="9"/>
      <c r="B57" s="9"/>
      <c r="C57" s="9"/>
      <c r="D57" s="9"/>
      <c r="E57" s="40"/>
    </row>
    <row r="58" spans="2:5" ht="12.75">
      <c r="B58" s="29">
        <f>B10+B20+B31+B41+B51+B56</f>
        <v>10275605.656542087</v>
      </c>
      <c r="C58" s="29">
        <f>C10+C20+C31+C41+C51+C56</f>
        <v>10590443.30566113</v>
      </c>
      <c r="D58" s="29">
        <f>D10+D20+D31+D41+D51+D56</f>
        <v>10797264.81412754</v>
      </c>
      <c r="E58" s="29">
        <f>E10+E20+E31+E41+E51+E56</f>
        <v>10886946.757155368</v>
      </c>
    </row>
    <row r="59" spans="1:5" ht="12.75">
      <c r="A59" s="47" t="s">
        <v>63</v>
      </c>
      <c r="B59" s="47">
        <v>3.6</v>
      </c>
      <c r="C59" s="47">
        <v>2.1</v>
      </c>
      <c r="D59" s="47">
        <v>3.5</v>
      </c>
      <c r="E59" s="48">
        <v>3.3</v>
      </c>
    </row>
    <row r="60" spans="1:5" ht="12.75">
      <c r="A60" s="49" t="s">
        <v>62</v>
      </c>
      <c r="B60" s="48">
        <f>(B59/100)+1</f>
        <v>1.036</v>
      </c>
      <c r="C60" s="48">
        <f>(C59/100)+1</f>
        <v>1.021</v>
      </c>
      <c r="D60" s="48">
        <f>(D59/100)+1</f>
        <v>1.035</v>
      </c>
      <c r="E60" s="48">
        <f>(E59/100)+1</f>
        <v>1.033</v>
      </c>
    </row>
    <row r="61" spans="1:5" s="47" customFormat="1" ht="11.25">
      <c r="A61" s="47" t="s">
        <v>61</v>
      </c>
      <c r="B61" s="51">
        <f>B60*C61</f>
        <v>1.254566310273882</v>
      </c>
      <c r="C61" s="51">
        <f>C60*D61</f>
        <v>1.2109713419632064</v>
      </c>
      <c r="D61" s="51">
        <f>D60*E61</f>
        <v>1.1860639980050995</v>
      </c>
      <c r="E61" s="53">
        <f>E60*'98-04 (cash)'!B62</f>
        <v>1.1459555536281156</v>
      </c>
    </row>
    <row r="62" spans="1:5" s="47" customFormat="1" ht="11.25">
      <c r="A62" s="47" t="s">
        <v>64</v>
      </c>
      <c r="C62" s="52">
        <f>C58/B58*100-100</f>
        <v>3.0639327708980204</v>
      </c>
      <c r="D62" s="52">
        <f>D58/C58*100-100</f>
        <v>1.9529069982920646</v>
      </c>
      <c r="E62" s="52">
        <f>E58/D58*100-100</f>
        <v>0.8305987170980984</v>
      </c>
    </row>
    <row r="64" spans="1:5" ht="12.75">
      <c r="A64" s="47" t="s">
        <v>65</v>
      </c>
      <c r="B64" s="54">
        <f>B10+B26+B24+B25+B34+B36+B45+B46</f>
        <v>5438275.22328057</v>
      </c>
      <c r="C64" s="54">
        <f>C10+C26+C24+C25+C34+C36+C45+C46</f>
        <v>5430634.890231575</v>
      </c>
      <c r="D64" s="54">
        <f>D10+D26+D24+D25+D34+D36+D45+D46</f>
        <v>5307150.104833638</v>
      </c>
      <c r="E64" s="54">
        <f>E10+E26+E24+E25+E34+E36+E45+E46</f>
        <v>5280469.22276296</v>
      </c>
    </row>
    <row r="65" spans="1:5" ht="12.75">
      <c r="A65" s="49" t="s">
        <v>67</v>
      </c>
      <c r="B65" s="54">
        <f>B15+B16+B18+B19+B23+B27+B28+B29+B30+B35+B37+B38+B39+B40+B44+B47+B48+B49+B50+B53+B54+B55</f>
        <v>3596438.8957696226</v>
      </c>
      <c r="C65" s="54">
        <f>C15+C16+C18+C19+C23+C27+C28+C29+C30+C35+C37+C38+C39+C40+C44+C47+C48+C49+C50+C53+C54+C55</f>
        <v>3922969.514630673</v>
      </c>
      <c r="D65" s="54">
        <f>D15+D16+D18+D19+D23+D27+D28+D29+D30+D35+D37+D38+D39+D40+D44+D47+D48+D49+D50+D53+D54+D55</f>
        <v>4245946.622090529</v>
      </c>
      <c r="E65" s="54">
        <f>E15+E16+E18+E19+E23+E27+E28+E29+E30+E35+E37+E38+E39+E40+E44+E47+E48+E49+E50+E53+E54+E55</f>
        <v>4379042.248990226</v>
      </c>
    </row>
    <row r="66" spans="1:5" ht="12.75">
      <c r="A66" s="49" t="s">
        <v>66</v>
      </c>
      <c r="B66" s="54">
        <f>B14</f>
        <v>1240891.5374918967</v>
      </c>
      <c r="C66" s="54">
        <f>C14</f>
        <v>1236838.9007988826</v>
      </c>
      <c r="D66" s="54">
        <f>D14</f>
        <v>1244168.0872033713</v>
      </c>
      <c r="E66" s="54">
        <f>E14</f>
        <v>1227435.285402182</v>
      </c>
    </row>
    <row r="67" spans="2:5" ht="12.75">
      <c r="B67" s="55">
        <f>SUM(B64:B66)</f>
        <v>10275605.656542089</v>
      </c>
      <c r="C67" s="55">
        <f>SUM(C64:C66)</f>
        <v>10590443.30566113</v>
      </c>
      <c r="D67" s="55">
        <f>SUM(D64:D66)</f>
        <v>10797264.814127538</v>
      </c>
      <c r="E67" s="55">
        <f>SUM(E64:E66)</f>
        <v>10886946.757155368</v>
      </c>
    </row>
    <row r="68" spans="2:5" ht="12.75">
      <c r="B68" s="29"/>
      <c r="C68" s="29"/>
      <c r="D68" s="29"/>
      <c r="E68" s="29"/>
    </row>
    <row r="69" spans="1:5" ht="12.75">
      <c r="A69" s="47" t="s">
        <v>65</v>
      </c>
      <c r="B69" s="54">
        <f>B64/B$67*100</f>
        <v>52.924133185455844</v>
      </c>
      <c r="C69" s="54">
        <f>C64/C$67*100</f>
        <v>51.27863615802206</v>
      </c>
      <c r="D69" s="54">
        <f>D64/D$67*100</f>
        <v>49.15272706741033</v>
      </c>
      <c r="E69" s="54">
        <f>E64/E$67*100</f>
        <v>48.50275601184887</v>
      </c>
    </row>
    <row r="70" spans="1:5" ht="12.75">
      <c r="A70" s="49" t="s">
        <v>67</v>
      </c>
      <c r="B70" s="54">
        <f aca="true" t="shared" si="0" ref="B70:E71">B65/B$67*100</f>
        <v>34.99977535124566</v>
      </c>
      <c r="C70" s="54">
        <f t="shared" si="0"/>
        <v>37.0425429928287</v>
      </c>
      <c r="D70" s="54">
        <f t="shared" si="0"/>
        <v>39.324279761435285</v>
      </c>
      <c r="E70" s="54">
        <f t="shared" si="0"/>
        <v>40.222868235413486</v>
      </c>
    </row>
    <row r="71" spans="1:5" ht="12.75">
      <c r="A71" s="49" t="s">
        <v>66</v>
      </c>
      <c r="B71" s="54">
        <f t="shared" si="0"/>
        <v>12.076091463298496</v>
      </c>
      <c r="C71" s="54">
        <f t="shared" si="0"/>
        <v>11.678820849149245</v>
      </c>
      <c r="D71" s="54">
        <f t="shared" si="0"/>
        <v>11.522993171154384</v>
      </c>
      <c r="E71" s="54">
        <f t="shared" si="0"/>
        <v>11.274375752737644</v>
      </c>
    </row>
  </sheetData>
  <mergeCells count="4">
    <mergeCell ref="B5:B7"/>
    <mergeCell ref="C5:C7"/>
    <mergeCell ref="D5:D7"/>
    <mergeCell ref="E5:E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K59"/>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F59" sqref="F59"/>
    </sheetView>
  </sheetViews>
  <sheetFormatPr defaultColWidth="9.140625" defaultRowHeight="12.75"/>
  <cols>
    <col min="1" max="1" width="49.140625" style="0" bestFit="1" customWidth="1"/>
    <col min="3" max="3" width="7.00390625" style="66" bestFit="1" customWidth="1"/>
    <col min="4" max="4" width="8.7109375" style="66" bestFit="1" customWidth="1"/>
    <col min="5" max="5" width="9.57421875" style="66" bestFit="1" customWidth="1"/>
    <col min="6" max="6" width="10.140625" style="72" customWidth="1"/>
    <col min="7" max="7" width="10.57421875" style="63" customWidth="1"/>
  </cols>
  <sheetData>
    <row r="1" spans="3:37" s="3" customFormat="1" ht="12.75">
      <c r="C1" s="229" t="s">
        <v>77</v>
      </c>
      <c r="D1" s="229"/>
      <c r="E1" s="229"/>
      <c r="F1" s="229" t="s">
        <v>78</v>
      </c>
      <c r="G1" s="230"/>
      <c r="K1" s="2"/>
      <c r="L1" s="2"/>
      <c r="M1" s="2"/>
      <c r="N1" s="2"/>
      <c r="O1" s="2"/>
      <c r="P1" s="2"/>
      <c r="Q1" s="2"/>
      <c r="R1" s="2"/>
      <c r="S1" s="2"/>
      <c r="T1" s="2"/>
      <c r="U1" s="2"/>
      <c r="V1" s="2"/>
      <c r="W1" s="2"/>
      <c r="X1" s="2"/>
      <c r="Y1" s="2"/>
      <c r="Z1" s="2"/>
      <c r="AA1" s="2"/>
      <c r="AB1" s="2"/>
      <c r="AC1" s="2"/>
      <c r="AD1" s="2"/>
      <c r="AE1" s="2"/>
      <c r="AF1" s="2"/>
      <c r="AG1" s="2"/>
      <c r="AH1" s="2"/>
      <c r="AI1" s="2"/>
      <c r="AJ1" s="2"/>
      <c r="AK1" s="2"/>
    </row>
    <row r="2" spans="1:37" s="5" customFormat="1" ht="11.25" customHeight="1">
      <c r="A2" s="8"/>
      <c r="B2" s="5" t="s">
        <v>38</v>
      </c>
      <c r="C2" s="28" t="s">
        <v>73</v>
      </c>
      <c r="D2" s="28" t="s">
        <v>74</v>
      </c>
      <c r="E2" s="28" t="s">
        <v>66</v>
      </c>
      <c r="F2" s="28" t="s">
        <v>76</v>
      </c>
      <c r="G2" s="28" t="s">
        <v>75</v>
      </c>
      <c r="K2" s="1"/>
      <c r="L2" s="1"/>
      <c r="M2" s="1"/>
      <c r="N2" s="1"/>
      <c r="O2" s="1"/>
      <c r="P2" s="1"/>
      <c r="Q2" s="1"/>
      <c r="R2" s="1"/>
      <c r="S2" s="1"/>
      <c r="T2" s="1"/>
      <c r="U2" s="1"/>
      <c r="V2" s="1"/>
      <c r="W2" s="1"/>
      <c r="X2" s="1"/>
      <c r="Y2" s="1"/>
      <c r="Z2" s="1"/>
      <c r="AA2" s="1"/>
      <c r="AB2" s="1"/>
      <c r="AC2" s="1"/>
      <c r="AD2" s="1"/>
      <c r="AE2" s="1"/>
      <c r="AF2" s="1"/>
      <c r="AG2" s="1"/>
      <c r="AH2" s="1"/>
      <c r="AI2" s="1"/>
      <c r="AJ2" s="1"/>
      <c r="AK2" s="1"/>
    </row>
    <row r="3" spans="1:37" s="5" customFormat="1" ht="11.25" customHeight="1">
      <c r="A3" s="18" t="s">
        <v>36</v>
      </c>
      <c r="B3" s="17"/>
      <c r="C3" s="60"/>
      <c r="D3" s="60"/>
      <c r="E3" s="60"/>
      <c r="F3" s="69"/>
      <c r="G3" s="44"/>
      <c r="H3" s="7"/>
      <c r="I3" s="7"/>
      <c r="J3" s="4"/>
      <c r="K3" s="1"/>
      <c r="L3" s="1"/>
      <c r="M3" s="1"/>
      <c r="N3" s="1"/>
      <c r="O3" s="1"/>
      <c r="P3" s="1"/>
      <c r="Q3" s="1"/>
      <c r="R3" s="1"/>
      <c r="S3" s="1"/>
      <c r="T3" s="1"/>
      <c r="U3" s="1"/>
      <c r="V3" s="1"/>
      <c r="W3" s="1"/>
      <c r="X3" s="1"/>
      <c r="Y3" s="1"/>
      <c r="Z3" s="1"/>
      <c r="AA3" s="1"/>
      <c r="AB3" s="1"/>
      <c r="AC3" s="1"/>
      <c r="AD3" s="1"/>
      <c r="AE3" s="1"/>
      <c r="AF3" s="1"/>
      <c r="AG3" s="1"/>
      <c r="AH3" s="1"/>
      <c r="AI3" s="1"/>
      <c r="AJ3" s="1"/>
      <c r="AK3" s="1"/>
    </row>
    <row r="4" spans="1:37" s="5" customFormat="1" ht="11.25" customHeight="1">
      <c r="A4" s="19" t="s">
        <v>2</v>
      </c>
      <c r="B4" s="19"/>
      <c r="C4" s="65"/>
      <c r="D4" s="65"/>
      <c r="E4" s="65"/>
      <c r="F4" s="70"/>
      <c r="G4" s="42"/>
      <c r="H4" s="6"/>
      <c r="I4" s="6"/>
      <c r="J4" s="4"/>
      <c r="K4" s="1"/>
      <c r="L4" s="1"/>
      <c r="M4" s="1"/>
      <c r="N4" s="1"/>
      <c r="O4" s="1"/>
      <c r="P4" s="1"/>
      <c r="Q4" s="1"/>
      <c r="R4" s="1"/>
      <c r="S4" s="1"/>
      <c r="T4" s="1"/>
      <c r="U4" s="1"/>
      <c r="V4" s="1"/>
      <c r="W4" s="1"/>
      <c r="X4" s="1"/>
      <c r="Y4" s="1"/>
      <c r="Z4" s="1"/>
      <c r="AA4" s="1"/>
      <c r="AB4" s="1"/>
      <c r="AC4" s="1"/>
      <c r="AD4" s="1"/>
      <c r="AE4" s="1"/>
      <c r="AF4" s="1"/>
      <c r="AG4" s="1"/>
      <c r="AH4" s="1"/>
      <c r="AI4" s="1"/>
      <c r="AJ4" s="1"/>
      <c r="AK4" s="1"/>
    </row>
    <row r="5" spans="1:37" s="5" customFormat="1" ht="11.25" customHeight="1">
      <c r="A5" s="21" t="s">
        <v>3</v>
      </c>
      <c r="B5" s="43">
        <v>3501575</v>
      </c>
      <c r="C5" s="60">
        <f>B5</f>
        <v>3501575</v>
      </c>
      <c r="D5" s="60"/>
      <c r="E5" s="60"/>
      <c r="F5" s="70"/>
      <c r="G5" s="42">
        <f>B5</f>
        <v>3501575</v>
      </c>
      <c r="H5" s="6"/>
      <c r="I5" s="6"/>
      <c r="J5" s="4"/>
      <c r="K5" s="1"/>
      <c r="L5" s="1"/>
      <c r="M5" s="1"/>
      <c r="N5" s="1"/>
      <c r="O5" s="1"/>
      <c r="P5" s="1"/>
      <c r="Q5" s="1"/>
      <c r="R5" s="1"/>
      <c r="S5" s="1"/>
      <c r="T5" s="1"/>
      <c r="U5" s="1"/>
      <c r="V5" s="1"/>
      <c r="W5" s="1"/>
      <c r="X5" s="1"/>
      <c r="Y5" s="1"/>
      <c r="Z5" s="1"/>
      <c r="AA5" s="1"/>
      <c r="AB5" s="1"/>
      <c r="AC5" s="1"/>
      <c r="AD5" s="1"/>
      <c r="AE5" s="1"/>
      <c r="AF5" s="1"/>
      <c r="AG5" s="1"/>
      <c r="AH5" s="1"/>
      <c r="AI5" s="1"/>
      <c r="AJ5" s="1"/>
      <c r="AK5" s="1"/>
    </row>
    <row r="6" spans="1:37" s="5" customFormat="1" ht="11.25" customHeight="1">
      <c r="A6" s="21" t="s">
        <v>4</v>
      </c>
      <c r="B6" s="43">
        <v>1037044</v>
      </c>
      <c r="C6" s="60">
        <f>B6</f>
        <v>1037044</v>
      </c>
      <c r="D6" s="60"/>
      <c r="E6" s="60"/>
      <c r="F6" s="70">
        <f>B6</f>
        <v>1037044</v>
      </c>
      <c r="G6" s="42"/>
      <c r="H6" s="6"/>
      <c r="I6" s="6"/>
      <c r="J6" s="4"/>
      <c r="K6" s="1"/>
      <c r="L6" s="1"/>
      <c r="M6" s="1"/>
      <c r="N6" s="1"/>
      <c r="O6" s="1"/>
      <c r="P6" s="1"/>
      <c r="Q6" s="1"/>
      <c r="R6" s="1"/>
      <c r="S6" s="1"/>
      <c r="T6" s="1"/>
      <c r="U6" s="1"/>
      <c r="V6" s="1"/>
      <c r="W6" s="1"/>
      <c r="X6" s="1"/>
      <c r="Y6" s="1"/>
      <c r="Z6" s="1"/>
      <c r="AA6" s="1"/>
      <c r="AB6" s="1"/>
      <c r="AC6" s="1"/>
      <c r="AD6" s="1"/>
      <c r="AE6" s="1"/>
      <c r="AF6" s="1"/>
      <c r="AG6" s="1"/>
      <c r="AH6" s="1"/>
      <c r="AI6" s="1"/>
      <c r="AJ6" s="1"/>
      <c r="AK6" s="1"/>
    </row>
    <row r="7" spans="1:37" s="5" customFormat="1" ht="11.25" customHeight="1">
      <c r="A7" s="21" t="s">
        <v>5</v>
      </c>
      <c r="B7" s="43">
        <v>490721</v>
      </c>
      <c r="C7" s="60">
        <f>B7</f>
        <v>490721</v>
      </c>
      <c r="D7" s="60"/>
      <c r="E7" s="60"/>
      <c r="F7" s="70">
        <f>50000</f>
        <v>50000</v>
      </c>
      <c r="G7" s="42">
        <f>B7-F7</f>
        <v>440721</v>
      </c>
      <c r="H7" s="6"/>
      <c r="I7" s="6"/>
      <c r="J7" s="4"/>
      <c r="K7" s="1"/>
      <c r="L7" s="1"/>
      <c r="M7" s="1"/>
      <c r="N7" s="1"/>
      <c r="O7" s="1"/>
      <c r="P7" s="1"/>
      <c r="Q7" s="1"/>
      <c r="R7" s="1"/>
      <c r="S7" s="1"/>
      <c r="T7" s="1"/>
      <c r="U7" s="1"/>
      <c r="V7" s="1"/>
      <c r="W7" s="1"/>
      <c r="X7" s="1"/>
      <c r="Y7" s="1"/>
      <c r="Z7" s="1"/>
      <c r="AA7" s="1"/>
      <c r="AB7" s="1"/>
      <c r="AC7" s="1"/>
      <c r="AD7" s="1"/>
      <c r="AE7" s="1"/>
      <c r="AF7" s="1"/>
      <c r="AG7" s="1"/>
      <c r="AH7" s="1"/>
      <c r="AI7" s="1"/>
      <c r="AJ7" s="1"/>
      <c r="AK7" s="1"/>
    </row>
    <row r="8" spans="1:37" s="5" customFormat="1" ht="11.25" customHeight="1">
      <c r="A8" s="21" t="s">
        <v>6</v>
      </c>
      <c r="B8" s="43">
        <v>128250</v>
      </c>
      <c r="C8" s="60">
        <f>B8</f>
        <v>128250</v>
      </c>
      <c r="D8" s="60"/>
      <c r="E8" s="60"/>
      <c r="F8" s="70">
        <f>B8/2</f>
        <v>64125</v>
      </c>
      <c r="G8" s="42">
        <f>B8/2</f>
        <v>64125</v>
      </c>
      <c r="H8" s="6"/>
      <c r="I8" s="6"/>
      <c r="J8" s="4"/>
      <c r="K8" s="1"/>
      <c r="L8" s="1"/>
      <c r="M8" s="1"/>
      <c r="N8" s="1"/>
      <c r="O8" s="1"/>
      <c r="P8" s="1"/>
      <c r="Q8" s="1"/>
      <c r="R8" s="1"/>
      <c r="S8" s="1"/>
      <c r="T8" s="1"/>
      <c r="U8" s="1"/>
      <c r="V8" s="1"/>
      <c r="W8" s="1"/>
      <c r="X8" s="1"/>
      <c r="Y8" s="1"/>
      <c r="Z8" s="1"/>
      <c r="AA8" s="1"/>
      <c r="AB8" s="1"/>
      <c r="AC8" s="1"/>
      <c r="AD8" s="1"/>
      <c r="AE8" s="1"/>
      <c r="AF8" s="1"/>
      <c r="AG8" s="1"/>
      <c r="AH8" s="1"/>
      <c r="AI8" s="1"/>
      <c r="AJ8" s="1"/>
      <c r="AK8" s="1"/>
    </row>
    <row r="9" spans="1:37" s="5" customFormat="1" ht="11.25" customHeight="1">
      <c r="A9" s="21" t="s">
        <v>7</v>
      </c>
      <c r="B9" s="43">
        <v>85817</v>
      </c>
      <c r="C9" s="60">
        <f>B9</f>
        <v>85817</v>
      </c>
      <c r="D9" s="60"/>
      <c r="E9" s="60"/>
      <c r="F9" s="70"/>
      <c r="G9" s="42">
        <f>B9</f>
        <v>85817</v>
      </c>
      <c r="H9" s="6"/>
      <c r="I9" s="6"/>
      <c r="J9" s="4"/>
      <c r="K9" s="1"/>
      <c r="L9" s="1"/>
      <c r="M9" s="1"/>
      <c r="N9" s="1"/>
      <c r="O9" s="1"/>
      <c r="P9" s="1"/>
      <c r="Q9" s="1"/>
      <c r="R9" s="1"/>
      <c r="S9" s="1"/>
      <c r="T9" s="1"/>
      <c r="U9" s="1"/>
      <c r="V9" s="1"/>
      <c r="W9" s="1"/>
      <c r="X9" s="1"/>
      <c r="Y9" s="1"/>
      <c r="Z9" s="1"/>
      <c r="AA9" s="1"/>
      <c r="AB9" s="1"/>
      <c r="AC9" s="1"/>
      <c r="AD9" s="1"/>
      <c r="AE9" s="1"/>
      <c r="AF9" s="1"/>
      <c r="AG9" s="1"/>
      <c r="AH9" s="1"/>
      <c r="AI9" s="1"/>
      <c r="AJ9" s="1"/>
      <c r="AK9" s="1"/>
    </row>
    <row r="10" spans="1:37" s="5" customFormat="1" ht="11.25" customHeight="1">
      <c r="A10" s="20" t="s">
        <v>8</v>
      </c>
      <c r="B10" s="4">
        <v>5243407</v>
      </c>
      <c r="C10" s="60"/>
      <c r="D10" s="60"/>
      <c r="E10" s="60"/>
      <c r="F10" s="70"/>
      <c r="G10" s="42"/>
      <c r="H10" s="6"/>
      <c r="I10" s="6"/>
      <c r="J10" s="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s="5" customFormat="1" ht="12.75">
      <c r="A11" s="23" t="s">
        <v>0</v>
      </c>
      <c r="B11" s="17"/>
      <c r="C11" s="60"/>
      <c r="D11" s="60"/>
      <c r="E11" s="60"/>
      <c r="F11" s="70"/>
      <c r="G11" s="42"/>
      <c r="H11" s="6"/>
      <c r="I11" s="6"/>
      <c r="J11" s="4"/>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s="5" customFormat="1" ht="11.25" customHeight="1">
      <c r="A12" s="24" t="s">
        <v>1</v>
      </c>
      <c r="B12" s="22"/>
      <c r="C12" s="61"/>
      <c r="D12" s="61"/>
      <c r="E12" s="61"/>
      <c r="F12" s="70"/>
      <c r="G12" s="42"/>
      <c r="H12" s="6"/>
      <c r="I12" s="6"/>
      <c r="J12" s="4"/>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s="5" customFormat="1" ht="11.25" customHeight="1">
      <c r="A13" s="16" t="s">
        <v>37</v>
      </c>
      <c r="B13" s="4"/>
      <c r="C13" s="60"/>
      <c r="D13" s="60"/>
      <c r="E13" s="60"/>
      <c r="F13" s="70"/>
      <c r="G13" s="42"/>
      <c r="H13" s="6"/>
      <c r="I13" s="6"/>
      <c r="J13" s="4"/>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s="5" customFormat="1" ht="11.25" customHeight="1">
      <c r="A14" s="21" t="s">
        <v>9</v>
      </c>
      <c r="B14" s="44">
        <v>1089950</v>
      </c>
      <c r="C14" s="60"/>
      <c r="D14" s="60"/>
      <c r="E14" s="60">
        <f>B14</f>
        <v>1089950</v>
      </c>
      <c r="F14" s="70"/>
      <c r="G14" s="42"/>
      <c r="H14" s="6"/>
      <c r="I14" s="6"/>
      <c r="J14" s="4"/>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7" s="9" customFormat="1" ht="12.75">
      <c r="A15" s="21" t="s">
        <v>10</v>
      </c>
      <c r="B15" s="44">
        <v>567254</v>
      </c>
      <c r="C15" s="67"/>
      <c r="D15" s="68">
        <f>B15</f>
        <v>567254</v>
      </c>
      <c r="E15" s="67"/>
      <c r="F15" s="71"/>
      <c r="G15" s="62"/>
    </row>
    <row r="16" spans="1:13" s="9" customFormat="1" ht="12.75">
      <c r="A16" s="25" t="s">
        <v>11</v>
      </c>
      <c r="B16" s="42">
        <v>395728</v>
      </c>
      <c r="C16" s="67"/>
      <c r="D16" s="68">
        <f>B16</f>
        <v>395728</v>
      </c>
      <c r="E16" s="67"/>
      <c r="F16" s="15"/>
      <c r="G16" s="64"/>
      <c r="H16" s="28"/>
      <c r="I16" s="28"/>
      <c r="J16" s="28"/>
      <c r="K16" s="28"/>
      <c r="L16" s="28"/>
      <c r="M16" s="28"/>
    </row>
    <row r="17" spans="1:7" s="9" customFormat="1" ht="12.75">
      <c r="A17" s="25" t="s">
        <v>12</v>
      </c>
      <c r="B17" s="42">
        <v>1121494</v>
      </c>
      <c r="C17" s="67"/>
      <c r="D17" s="68">
        <f>B17</f>
        <v>1121494</v>
      </c>
      <c r="E17" s="67"/>
      <c r="F17" s="71"/>
      <c r="G17" s="62"/>
    </row>
    <row r="18" spans="1:7" s="9" customFormat="1" ht="12.75">
      <c r="A18" s="26" t="s">
        <v>13</v>
      </c>
      <c r="B18" s="42">
        <v>249629</v>
      </c>
      <c r="C18" s="67"/>
      <c r="D18" s="68">
        <f>B18</f>
        <v>249629</v>
      </c>
      <c r="E18" s="67"/>
      <c r="F18" s="71"/>
      <c r="G18" s="62"/>
    </row>
    <row r="19" spans="1:7" s="9" customFormat="1" ht="12.75">
      <c r="A19" s="25" t="s">
        <v>14</v>
      </c>
      <c r="B19" s="42">
        <v>58035</v>
      </c>
      <c r="C19" s="67"/>
      <c r="D19" s="68">
        <f>B19</f>
        <v>58035</v>
      </c>
      <c r="E19" s="67"/>
      <c r="F19" s="71"/>
      <c r="G19" s="62"/>
    </row>
    <row r="20" spans="1:7" s="9" customFormat="1" ht="12.75">
      <c r="A20" s="27" t="s">
        <v>8</v>
      </c>
      <c r="B20" s="4">
        <v>3482090</v>
      </c>
      <c r="C20" s="67"/>
      <c r="D20" s="67"/>
      <c r="E20" s="67"/>
      <c r="F20" s="71"/>
      <c r="G20" s="62"/>
    </row>
    <row r="21" spans="1:7" s="9" customFormat="1" ht="12.75">
      <c r="A21" s="21"/>
      <c r="B21" s="6"/>
      <c r="C21" s="67"/>
      <c r="D21" s="67"/>
      <c r="E21" s="67"/>
      <c r="F21" s="71"/>
      <c r="G21" s="62"/>
    </row>
    <row r="22" spans="1:13" ht="12.75">
      <c r="A22" s="12" t="s">
        <v>16</v>
      </c>
      <c r="B22" s="4"/>
      <c r="C22" s="60"/>
      <c r="D22" s="60"/>
      <c r="E22" s="60"/>
      <c r="F22" s="69"/>
      <c r="G22" s="43"/>
      <c r="H22" s="4"/>
      <c r="I22" s="4"/>
      <c r="J22" s="4"/>
      <c r="K22" s="4"/>
      <c r="L22" s="4"/>
      <c r="M22" s="4"/>
    </row>
    <row r="23" spans="1:13" ht="12.75">
      <c r="A23" s="10" t="s">
        <v>24</v>
      </c>
      <c r="B23" s="43">
        <v>17563</v>
      </c>
      <c r="C23" s="67"/>
      <c r="D23" s="68">
        <f>B23</f>
        <v>17563</v>
      </c>
      <c r="E23" s="67"/>
      <c r="F23" s="69"/>
      <c r="G23" s="43"/>
      <c r="H23" s="4"/>
      <c r="I23" s="4"/>
      <c r="J23" s="4"/>
      <c r="K23" s="4"/>
      <c r="L23" s="4"/>
      <c r="M23" s="4"/>
    </row>
    <row r="24" spans="1:13" ht="12.75">
      <c r="A24" s="10" t="s">
        <v>41</v>
      </c>
      <c r="B24" s="43"/>
      <c r="C24" s="60">
        <v>0</v>
      </c>
      <c r="D24" s="60"/>
      <c r="E24" s="60"/>
      <c r="F24" s="69">
        <f>B24</f>
        <v>0</v>
      </c>
      <c r="G24" s="43"/>
      <c r="H24" s="4"/>
      <c r="I24" s="4"/>
      <c r="J24" s="4"/>
      <c r="K24" s="4"/>
      <c r="L24" s="4"/>
      <c r="M24" s="4"/>
    </row>
    <row r="25" spans="1:13" ht="12.75">
      <c r="A25" s="10" t="s">
        <v>25</v>
      </c>
      <c r="B25" s="43">
        <v>18962</v>
      </c>
      <c r="C25" s="60">
        <f>B25</f>
        <v>18962</v>
      </c>
      <c r="D25" s="60"/>
      <c r="E25" s="60"/>
      <c r="F25" s="69">
        <f>B25</f>
        <v>18962</v>
      </c>
      <c r="G25" s="43"/>
      <c r="H25" s="4"/>
      <c r="I25" s="4"/>
      <c r="J25" s="4"/>
      <c r="K25" s="4"/>
      <c r="L25" s="4"/>
      <c r="M25" s="4"/>
    </row>
    <row r="26" spans="1:13" ht="22.5">
      <c r="A26" s="10" t="s">
        <v>19</v>
      </c>
      <c r="B26" s="43">
        <v>235377</v>
      </c>
      <c r="C26" s="60">
        <f>B26</f>
        <v>235377</v>
      </c>
      <c r="D26" s="60"/>
      <c r="E26" s="60"/>
      <c r="F26" s="69"/>
      <c r="G26" s="43">
        <f>B26</f>
        <v>235377</v>
      </c>
      <c r="H26" s="4"/>
      <c r="I26" s="4"/>
      <c r="J26" s="4"/>
      <c r="K26" s="4"/>
      <c r="L26" s="4"/>
      <c r="M26" s="4"/>
    </row>
    <row r="27" spans="1:13" ht="12.75">
      <c r="A27" s="10" t="s">
        <v>20</v>
      </c>
      <c r="B27" s="43">
        <v>137219</v>
      </c>
      <c r="C27" s="67"/>
      <c r="D27" s="68">
        <f>B27</f>
        <v>137219</v>
      </c>
      <c r="E27" s="67"/>
      <c r="F27" s="69"/>
      <c r="G27" s="43"/>
      <c r="H27" s="4"/>
      <c r="I27" s="4"/>
      <c r="J27" s="4"/>
      <c r="K27" s="4"/>
      <c r="L27" s="4"/>
      <c r="M27" s="4"/>
    </row>
    <row r="28" spans="1:13" ht="12.75">
      <c r="A28" s="10" t="s">
        <v>21</v>
      </c>
      <c r="B28" s="43">
        <v>83135</v>
      </c>
      <c r="C28" s="67"/>
      <c r="D28" s="68">
        <f>B28</f>
        <v>83135</v>
      </c>
      <c r="E28" s="67"/>
      <c r="F28" s="69"/>
      <c r="G28" s="43"/>
      <c r="H28" s="4"/>
      <c r="I28" s="4"/>
      <c r="J28" s="4"/>
      <c r="K28" s="4"/>
      <c r="L28" s="4"/>
      <c r="M28" s="4"/>
    </row>
    <row r="29" spans="1:13" ht="12.75">
      <c r="A29" s="10" t="s">
        <v>22</v>
      </c>
      <c r="B29" s="43">
        <v>56343</v>
      </c>
      <c r="C29" s="67"/>
      <c r="D29" s="68">
        <f>B29</f>
        <v>56343</v>
      </c>
      <c r="E29" s="67"/>
      <c r="F29" s="69"/>
      <c r="G29" s="43"/>
      <c r="H29" s="4"/>
      <c r="I29" s="4"/>
      <c r="J29" s="4"/>
      <c r="K29" s="4"/>
      <c r="L29" s="4"/>
      <c r="M29" s="4"/>
    </row>
    <row r="30" spans="1:13" ht="12.75">
      <c r="A30" s="10" t="s">
        <v>23</v>
      </c>
      <c r="B30" s="43">
        <v>223593</v>
      </c>
      <c r="C30" s="67"/>
      <c r="D30" s="68">
        <f>B30</f>
        <v>223593</v>
      </c>
      <c r="E30" s="67"/>
      <c r="F30" s="69"/>
      <c r="G30" s="43"/>
      <c r="H30" s="4"/>
      <c r="I30" s="4"/>
      <c r="J30" s="4"/>
      <c r="K30" s="4"/>
      <c r="L30" s="4"/>
      <c r="M30" s="4"/>
    </row>
    <row r="31" spans="1:13" ht="12.75">
      <c r="A31" s="11" t="s">
        <v>8</v>
      </c>
      <c r="B31" s="4">
        <v>772192</v>
      </c>
      <c r="C31" s="60"/>
      <c r="D31" s="60"/>
      <c r="E31" s="60"/>
      <c r="F31" s="69"/>
      <c r="G31" s="43"/>
      <c r="H31" s="4"/>
      <c r="I31" s="4"/>
      <c r="J31" s="4"/>
      <c r="K31" s="4"/>
      <c r="L31" s="4"/>
      <c r="M31" s="4"/>
    </row>
    <row r="32" spans="1:13" ht="12.75">
      <c r="A32" s="12"/>
      <c r="B32" s="4"/>
      <c r="C32" s="60"/>
      <c r="D32" s="60"/>
      <c r="E32" s="60"/>
      <c r="F32" s="69"/>
      <c r="G32" s="43"/>
      <c r="H32" s="4"/>
      <c r="I32" s="4"/>
      <c r="J32" s="4"/>
      <c r="K32" s="4"/>
      <c r="L32" s="4"/>
      <c r="M32" s="4"/>
    </row>
    <row r="33" spans="1:13" ht="12.75">
      <c r="A33" s="13" t="s">
        <v>15</v>
      </c>
      <c r="B33" s="4"/>
      <c r="C33" s="60"/>
      <c r="D33" s="60"/>
      <c r="E33" s="60"/>
      <c r="F33" s="69"/>
      <c r="G33" s="43"/>
      <c r="H33" s="4"/>
      <c r="I33" s="4"/>
      <c r="J33" s="4"/>
      <c r="K33" s="4"/>
      <c r="L33" s="4"/>
      <c r="M33" s="4"/>
    </row>
    <row r="34" spans="1:13" ht="12.75">
      <c r="A34" s="10" t="s">
        <v>17</v>
      </c>
      <c r="B34" s="43">
        <v>692203</v>
      </c>
      <c r="C34" s="60">
        <f>B34</f>
        <v>692203</v>
      </c>
      <c r="D34" s="60"/>
      <c r="E34" s="60"/>
      <c r="F34" s="69">
        <f>B34</f>
        <v>692203</v>
      </c>
      <c r="G34" s="43"/>
      <c r="H34" s="4"/>
      <c r="I34" s="4"/>
      <c r="J34" s="4"/>
      <c r="K34" s="4"/>
      <c r="L34" s="4"/>
      <c r="M34" s="4"/>
    </row>
    <row r="35" spans="1:13" ht="12.75">
      <c r="A35" s="10" t="s">
        <v>18</v>
      </c>
      <c r="B35" s="43">
        <v>576172</v>
      </c>
      <c r="C35" s="67"/>
      <c r="D35" s="68">
        <f>B35</f>
        <v>576172</v>
      </c>
      <c r="E35" s="67"/>
      <c r="F35" s="69"/>
      <c r="G35" s="43"/>
      <c r="H35" s="4"/>
      <c r="I35" s="4"/>
      <c r="J35" s="4"/>
      <c r="K35" s="4"/>
      <c r="L35" s="4"/>
      <c r="M35" s="4"/>
    </row>
    <row r="36" spans="1:13" ht="22.5">
      <c r="A36" s="10" t="s">
        <v>19</v>
      </c>
      <c r="B36" s="43">
        <v>403368</v>
      </c>
      <c r="C36" s="60">
        <f>B36</f>
        <v>403368</v>
      </c>
      <c r="D36" s="60"/>
      <c r="E36" s="60"/>
      <c r="F36" s="69">
        <f>B36</f>
        <v>403368</v>
      </c>
      <c r="G36" s="43"/>
      <c r="H36" s="4"/>
      <c r="I36" s="4"/>
      <c r="J36" s="4"/>
      <c r="K36" s="4"/>
      <c r="L36" s="4"/>
      <c r="M36" s="4"/>
    </row>
    <row r="37" spans="1:13" ht="12.75">
      <c r="A37" s="10" t="s">
        <v>20</v>
      </c>
      <c r="B37" s="43">
        <v>204071</v>
      </c>
      <c r="C37" s="67"/>
      <c r="D37" s="68">
        <f>B37</f>
        <v>204071</v>
      </c>
      <c r="E37" s="67"/>
      <c r="F37" s="69"/>
      <c r="G37" s="43"/>
      <c r="H37" s="4"/>
      <c r="I37" s="4"/>
      <c r="J37" s="4"/>
      <c r="K37" s="4"/>
      <c r="L37" s="4"/>
      <c r="M37" s="4"/>
    </row>
    <row r="38" spans="1:13" ht="12.75">
      <c r="A38" s="10" t="s">
        <v>21</v>
      </c>
      <c r="B38" s="43">
        <v>172345</v>
      </c>
      <c r="C38" s="67"/>
      <c r="D38" s="68">
        <f>B38</f>
        <v>172345</v>
      </c>
      <c r="E38" s="67"/>
      <c r="F38" s="69"/>
      <c r="G38" s="43"/>
      <c r="H38" s="4"/>
      <c r="I38" s="4"/>
      <c r="J38" s="4"/>
      <c r="K38" s="4"/>
      <c r="L38" s="4"/>
      <c r="M38" s="4"/>
    </row>
    <row r="39" spans="1:13" ht="12.75">
      <c r="A39" s="10" t="s">
        <v>22</v>
      </c>
      <c r="B39" s="43">
        <v>124371</v>
      </c>
      <c r="C39" s="67"/>
      <c r="D39" s="68">
        <f>B39</f>
        <v>124371</v>
      </c>
      <c r="E39" s="67"/>
      <c r="F39" s="69"/>
      <c r="G39" s="43"/>
      <c r="H39" s="4"/>
      <c r="I39" s="4"/>
      <c r="J39" s="4"/>
      <c r="K39" s="4"/>
      <c r="L39" s="4"/>
      <c r="M39" s="4"/>
    </row>
    <row r="40" spans="1:13" ht="12.75">
      <c r="A40" s="10" t="s">
        <v>23</v>
      </c>
      <c r="B40" s="43">
        <v>38963</v>
      </c>
      <c r="C40" s="67"/>
      <c r="D40" s="68">
        <f>B40</f>
        <v>38963</v>
      </c>
      <c r="E40" s="67"/>
      <c r="F40" s="69"/>
      <c r="G40" s="43"/>
      <c r="H40" s="4"/>
      <c r="I40" s="4"/>
      <c r="J40" s="4"/>
      <c r="K40" s="4"/>
      <c r="L40" s="4"/>
      <c r="M40" s="4"/>
    </row>
    <row r="41" spans="1:13" ht="12.75">
      <c r="A41" s="11" t="s">
        <v>8</v>
      </c>
      <c r="B41" s="4">
        <v>2211493</v>
      </c>
      <c r="C41" s="60"/>
      <c r="D41" s="60"/>
      <c r="E41" s="60"/>
      <c r="F41" s="69"/>
      <c r="G41" s="43"/>
      <c r="H41" s="4"/>
      <c r="I41" s="4"/>
      <c r="J41" s="4"/>
      <c r="K41" s="4"/>
      <c r="L41" s="4"/>
      <c r="M41" s="4"/>
    </row>
    <row r="42" ht="12.75">
      <c r="A42" s="9"/>
    </row>
    <row r="43" spans="1:6" ht="12.75">
      <c r="A43" s="8" t="s">
        <v>26</v>
      </c>
      <c r="B43" s="9"/>
      <c r="F43" s="69"/>
    </row>
    <row r="44" spans="1:5" ht="12.75">
      <c r="A44" s="10" t="s">
        <v>28</v>
      </c>
      <c r="B44" s="7">
        <v>881778</v>
      </c>
      <c r="C44" s="67"/>
      <c r="D44" s="68">
        <f>B44</f>
        <v>881778</v>
      </c>
      <c r="E44" s="67"/>
    </row>
    <row r="45" spans="1:7" ht="12.75">
      <c r="A45" s="10" t="s">
        <v>29</v>
      </c>
      <c r="B45" s="7">
        <v>1197</v>
      </c>
      <c r="C45" s="60">
        <f>B45</f>
        <v>1197</v>
      </c>
      <c r="D45" s="60"/>
      <c r="E45" s="60"/>
      <c r="G45" s="56">
        <f>C45</f>
        <v>1197</v>
      </c>
    </row>
    <row r="46" spans="1:7" ht="12.75">
      <c r="A46" s="10" t="s">
        <v>30</v>
      </c>
      <c r="B46" s="7">
        <v>239356</v>
      </c>
      <c r="C46" s="60">
        <f>B46</f>
        <v>239356</v>
      </c>
      <c r="D46" s="60"/>
      <c r="E46" s="60"/>
      <c r="G46" s="56">
        <f>C46</f>
        <v>239356</v>
      </c>
    </row>
    <row r="47" spans="1:5" ht="12.75">
      <c r="A47" s="10" t="s">
        <v>6</v>
      </c>
      <c r="B47" s="7">
        <v>53856</v>
      </c>
      <c r="C47" s="67"/>
      <c r="D47" s="68">
        <f>B47</f>
        <v>53856</v>
      </c>
      <c r="E47" s="67"/>
    </row>
    <row r="48" spans="1:5" ht="12.75">
      <c r="A48" s="10" t="s">
        <v>31</v>
      </c>
      <c r="B48" s="7">
        <v>16781</v>
      </c>
      <c r="C48" s="67"/>
      <c r="D48" s="68">
        <f>B48</f>
        <v>16781</v>
      </c>
      <c r="E48" s="67"/>
    </row>
    <row r="49" spans="1:5" ht="12.75">
      <c r="A49" s="10" t="s">
        <v>47</v>
      </c>
      <c r="B49" s="7"/>
      <c r="C49" s="67"/>
      <c r="D49" s="68">
        <f>B49</f>
        <v>0</v>
      </c>
      <c r="E49" s="67"/>
    </row>
    <row r="50" spans="1:5" ht="12.75">
      <c r="A50" s="10" t="s">
        <v>32</v>
      </c>
      <c r="B50" s="7">
        <v>791319</v>
      </c>
      <c r="C50" s="67"/>
      <c r="D50" s="68">
        <f>B50</f>
        <v>791319</v>
      </c>
      <c r="E50" s="67"/>
    </row>
    <row r="51" spans="1:2" ht="12.75">
      <c r="A51" s="11" t="s">
        <v>8</v>
      </c>
      <c r="B51" s="7">
        <v>1984287</v>
      </c>
    </row>
    <row r="52" spans="1:2" ht="12.75">
      <c r="A52" s="11" t="s">
        <v>27</v>
      </c>
      <c r="B52" s="7"/>
    </row>
    <row r="53" spans="1:5" ht="12.75">
      <c r="A53" s="10" t="s">
        <v>33</v>
      </c>
      <c r="B53" s="7">
        <v>66525</v>
      </c>
      <c r="C53" s="67"/>
      <c r="D53" s="68">
        <f>B53</f>
        <v>66525</v>
      </c>
      <c r="E53" s="67"/>
    </row>
    <row r="54" spans="1:5" ht="12.75">
      <c r="A54" s="10" t="s">
        <v>34</v>
      </c>
      <c r="B54" s="7">
        <v>19110</v>
      </c>
      <c r="C54" s="67"/>
      <c r="D54" s="68">
        <f>B54</f>
        <v>19110</v>
      </c>
      <c r="E54" s="67"/>
    </row>
    <row r="55" spans="1:5" ht="12.75">
      <c r="A55" s="10" t="s">
        <v>35</v>
      </c>
      <c r="B55" s="7">
        <v>111527</v>
      </c>
      <c r="C55" s="67"/>
      <c r="D55" s="68">
        <f>B55</f>
        <v>111527</v>
      </c>
      <c r="E55" s="67"/>
    </row>
    <row r="56" spans="1:2" ht="12.75">
      <c r="A56" s="11" t="s">
        <v>8</v>
      </c>
      <c r="B56" s="7">
        <v>197162</v>
      </c>
    </row>
    <row r="57" spans="1:2" ht="12.75">
      <c r="A57" s="9"/>
      <c r="B57" s="9"/>
    </row>
    <row r="58" spans="2:8" ht="12.75">
      <c r="B58" s="29">
        <f>B10+B20+B31+B41+B51+B56</f>
        <v>13890631</v>
      </c>
      <c r="C58" s="73">
        <f>SUM(C3:C57)</f>
        <v>6833870</v>
      </c>
      <c r="D58" s="73">
        <f>SUM(D3:D57)</f>
        <v>5966811</v>
      </c>
      <c r="E58" s="73">
        <f>SUM(E3:E57)</f>
        <v>1089950</v>
      </c>
      <c r="F58" s="73">
        <f>SUM(F3:F57)</f>
        <v>2265702</v>
      </c>
      <c r="G58" s="73">
        <f>SUM(G3:G57)</f>
        <v>4568168</v>
      </c>
      <c r="H58" s="29"/>
    </row>
    <row r="59" spans="2:7" ht="12.75">
      <c r="B59" s="29"/>
      <c r="C59" s="73">
        <f>C58/$B58*100</f>
        <v>49.19769303496724</v>
      </c>
      <c r="D59" s="73">
        <f>D58/$B58*100</f>
        <v>42.95565118676034</v>
      </c>
      <c r="E59" s="73">
        <f>E58/$B58*100</f>
        <v>7.84665577827242</v>
      </c>
      <c r="F59" s="74">
        <f>F58/$C58*100</f>
        <v>33.154010831344465</v>
      </c>
      <c r="G59" s="74">
        <f>G58/$C58*100</f>
        <v>66.84598916865554</v>
      </c>
    </row>
  </sheetData>
  <mergeCells count="2">
    <mergeCell ref="C1:E1"/>
    <mergeCell ref="F1:G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L61"/>
  <sheetViews>
    <sheetView workbookViewId="0" topLeftCell="A37">
      <selection activeCell="B58" sqref="B58"/>
    </sheetView>
  </sheetViews>
  <sheetFormatPr defaultColWidth="9.140625" defaultRowHeight="12.75"/>
  <cols>
    <col min="1" max="1" width="49.140625" style="0" bestFit="1" customWidth="1"/>
    <col min="2" max="4" width="10.7109375" style="0" customWidth="1"/>
    <col min="5" max="5" width="10.7109375" style="41" customWidth="1"/>
  </cols>
  <sheetData>
    <row r="1" spans="2:38" s="11" customFormat="1" ht="11.25">
      <c r="B1" s="11" t="s">
        <v>51</v>
      </c>
      <c r="C1" s="11" t="s">
        <v>52</v>
      </c>
      <c r="D1" s="11" t="s">
        <v>53</v>
      </c>
      <c r="E1" s="11" t="s">
        <v>54</v>
      </c>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row>
    <row r="2" spans="1:38" s="5" customFormat="1" ht="11.25" customHeight="1">
      <c r="A2" s="8"/>
      <c r="B2" s="8"/>
      <c r="C2" s="8"/>
      <c r="D2" s="8"/>
      <c r="E2" s="34"/>
      <c r="L2" s="1"/>
      <c r="M2" s="1"/>
      <c r="N2" s="1"/>
      <c r="O2" s="1"/>
      <c r="P2" s="1"/>
      <c r="Q2" s="1"/>
      <c r="R2" s="1"/>
      <c r="S2" s="1"/>
      <c r="T2" s="1"/>
      <c r="U2" s="1"/>
      <c r="V2" s="1"/>
      <c r="W2" s="1"/>
      <c r="X2" s="1"/>
      <c r="Y2" s="1"/>
      <c r="Z2" s="1"/>
      <c r="AA2" s="1"/>
      <c r="AB2" s="1"/>
      <c r="AC2" s="1"/>
      <c r="AD2" s="1"/>
      <c r="AE2" s="1"/>
      <c r="AF2" s="1"/>
      <c r="AG2" s="1"/>
      <c r="AH2" s="1"/>
      <c r="AI2" s="1"/>
      <c r="AJ2" s="1"/>
      <c r="AK2" s="1"/>
      <c r="AL2" s="1"/>
    </row>
    <row r="3" spans="1:38" s="5" customFormat="1" ht="11.25" customHeight="1">
      <c r="A3" s="18" t="s">
        <v>36</v>
      </c>
      <c r="B3" s="18"/>
      <c r="C3" s="18"/>
      <c r="D3" s="18"/>
      <c r="E3" s="35"/>
      <c r="F3" s="17"/>
      <c r="G3" s="7"/>
      <c r="H3" s="7"/>
      <c r="I3" s="7"/>
      <c r="J3" s="7"/>
      <c r="K3" s="4"/>
      <c r="L3" s="1"/>
      <c r="M3" s="1"/>
      <c r="N3" s="1"/>
      <c r="O3" s="1"/>
      <c r="P3" s="1"/>
      <c r="Q3" s="1"/>
      <c r="R3" s="1"/>
      <c r="S3" s="1"/>
      <c r="T3" s="1"/>
      <c r="U3" s="1"/>
      <c r="V3" s="1"/>
      <c r="W3" s="1"/>
      <c r="X3" s="1"/>
      <c r="Y3" s="1"/>
      <c r="Z3" s="1"/>
      <c r="AA3" s="1"/>
      <c r="AB3" s="1"/>
      <c r="AC3" s="1"/>
      <c r="AD3" s="1"/>
      <c r="AE3" s="1"/>
      <c r="AF3" s="1"/>
      <c r="AG3" s="1"/>
      <c r="AH3" s="1"/>
      <c r="AI3" s="1"/>
      <c r="AJ3" s="1"/>
      <c r="AK3" s="1"/>
      <c r="AL3" s="1"/>
    </row>
    <row r="4" spans="1:38" s="5" customFormat="1" ht="11.25" customHeight="1">
      <c r="A4" s="19" t="s">
        <v>2</v>
      </c>
      <c r="B4" s="19"/>
      <c r="C4" s="19"/>
      <c r="D4" s="19"/>
      <c r="E4" s="31"/>
      <c r="F4" s="19"/>
      <c r="G4" s="6"/>
      <c r="H4" s="6"/>
      <c r="I4" s="6"/>
      <c r="J4" s="6"/>
      <c r="K4" s="4"/>
      <c r="L4" s="1"/>
      <c r="M4" s="1"/>
      <c r="N4" s="1"/>
      <c r="O4" s="1"/>
      <c r="P4" s="1"/>
      <c r="Q4" s="1"/>
      <c r="R4" s="1"/>
      <c r="S4" s="1"/>
      <c r="T4" s="1"/>
      <c r="U4" s="1"/>
      <c r="V4" s="1"/>
      <c r="W4" s="1"/>
      <c r="X4" s="1"/>
      <c r="Y4" s="1"/>
      <c r="Z4" s="1"/>
      <c r="AA4" s="1"/>
      <c r="AB4" s="1"/>
      <c r="AC4" s="1"/>
      <c r="AD4" s="1"/>
      <c r="AE4" s="1"/>
      <c r="AF4" s="1"/>
      <c r="AG4" s="1"/>
      <c r="AH4" s="1"/>
      <c r="AI4" s="1"/>
      <c r="AJ4" s="1"/>
      <c r="AK4" s="1"/>
      <c r="AL4" s="1"/>
    </row>
    <row r="5" spans="1:38" s="5" customFormat="1" ht="11.25" customHeight="1">
      <c r="A5" s="21" t="s">
        <v>3</v>
      </c>
      <c r="B5" s="227">
        <v>3121207</v>
      </c>
      <c r="C5" s="227">
        <v>3187167</v>
      </c>
      <c r="D5" s="227">
        <v>3171043</v>
      </c>
      <c r="E5" s="227">
        <v>3368759</v>
      </c>
      <c r="F5" s="4"/>
      <c r="G5" s="6"/>
      <c r="H5" s="6"/>
      <c r="I5" s="6"/>
      <c r="J5" s="6"/>
      <c r="K5" s="4"/>
      <c r="L5" s="1"/>
      <c r="M5" s="1"/>
      <c r="N5" s="1"/>
      <c r="O5" s="1"/>
      <c r="P5" s="1"/>
      <c r="Q5" s="1"/>
      <c r="R5" s="1"/>
      <c r="S5" s="1"/>
      <c r="T5" s="1"/>
      <c r="U5" s="1"/>
      <c r="V5" s="1"/>
      <c r="W5" s="1"/>
      <c r="X5" s="1"/>
      <c r="Y5" s="1"/>
      <c r="Z5" s="1"/>
      <c r="AA5" s="1"/>
      <c r="AB5" s="1"/>
      <c r="AC5" s="1"/>
      <c r="AD5" s="1"/>
      <c r="AE5" s="1"/>
      <c r="AF5" s="1"/>
      <c r="AG5" s="1"/>
      <c r="AH5" s="1"/>
      <c r="AI5" s="1"/>
      <c r="AJ5" s="1"/>
      <c r="AK5" s="1"/>
      <c r="AL5" s="1"/>
    </row>
    <row r="6" spans="1:38" s="5" customFormat="1" ht="11.25" customHeight="1">
      <c r="A6" s="21" t="s">
        <v>4</v>
      </c>
      <c r="B6" s="227"/>
      <c r="C6" s="227"/>
      <c r="D6" s="227"/>
      <c r="E6" s="227"/>
      <c r="F6" s="4"/>
      <c r="G6" s="6"/>
      <c r="H6" s="6"/>
      <c r="I6" s="6"/>
      <c r="J6" s="6"/>
      <c r="K6" s="4"/>
      <c r="L6" s="1"/>
      <c r="M6" s="1"/>
      <c r="N6" s="1"/>
      <c r="O6" s="1"/>
      <c r="P6" s="1"/>
      <c r="Q6" s="1"/>
      <c r="R6" s="1"/>
      <c r="S6" s="1"/>
      <c r="T6" s="1"/>
      <c r="U6" s="1"/>
      <c r="V6" s="1"/>
      <c r="W6" s="1"/>
      <c r="X6" s="1"/>
      <c r="Y6" s="1"/>
      <c r="Z6" s="1"/>
      <c r="AA6" s="1"/>
      <c r="AB6" s="1"/>
      <c r="AC6" s="1"/>
      <c r="AD6" s="1"/>
      <c r="AE6" s="1"/>
      <c r="AF6" s="1"/>
      <c r="AG6" s="1"/>
      <c r="AH6" s="1"/>
      <c r="AI6" s="1"/>
      <c r="AJ6" s="1"/>
      <c r="AK6" s="1"/>
      <c r="AL6" s="1"/>
    </row>
    <row r="7" spans="1:38" s="5" customFormat="1" ht="11.25" customHeight="1">
      <c r="A7" s="21" t="s">
        <v>5</v>
      </c>
      <c r="B7" s="228"/>
      <c r="C7" s="228"/>
      <c r="D7" s="228"/>
      <c r="E7" s="228"/>
      <c r="F7" s="4"/>
      <c r="G7" s="6"/>
      <c r="H7" s="6"/>
      <c r="I7" s="6"/>
      <c r="J7" s="6"/>
      <c r="K7" s="4"/>
      <c r="L7" s="1"/>
      <c r="M7" s="1"/>
      <c r="N7" s="1"/>
      <c r="O7" s="1"/>
      <c r="P7" s="1"/>
      <c r="Q7" s="1"/>
      <c r="R7" s="1"/>
      <c r="S7" s="1"/>
      <c r="T7" s="1"/>
      <c r="U7" s="1"/>
      <c r="V7" s="1"/>
      <c r="W7" s="1"/>
      <c r="X7" s="1"/>
      <c r="Y7" s="1"/>
      <c r="Z7" s="1"/>
      <c r="AA7" s="1"/>
      <c r="AB7" s="1"/>
      <c r="AC7" s="1"/>
      <c r="AD7" s="1"/>
      <c r="AE7" s="1"/>
      <c r="AF7" s="1"/>
      <c r="AG7" s="1"/>
      <c r="AH7" s="1"/>
      <c r="AI7" s="1"/>
      <c r="AJ7" s="1"/>
      <c r="AK7" s="1"/>
      <c r="AL7" s="1"/>
    </row>
    <row r="8" spans="1:38" s="5" customFormat="1" ht="11.25" customHeight="1">
      <c r="A8" s="21" t="s">
        <v>6</v>
      </c>
      <c r="B8" s="21">
        <v>339493</v>
      </c>
      <c r="C8" s="21">
        <v>313177</v>
      </c>
      <c r="D8" s="21">
        <v>280225</v>
      </c>
      <c r="E8" s="21">
        <v>188222</v>
      </c>
      <c r="F8" s="4"/>
      <c r="G8" s="6"/>
      <c r="H8" s="6"/>
      <c r="I8" s="6"/>
      <c r="J8" s="6"/>
      <c r="K8" s="4"/>
      <c r="L8" s="1"/>
      <c r="M8" s="1"/>
      <c r="N8" s="1"/>
      <c r="O8" s="1"/>
      <c r="P8" s="1"/>
      <c r="Q8" s="1"/>
      <c r="R8" s="1"/>
      <c r="S8" s="1"/>
      <c r="T8" s="1"/>
      <c r="U8" s="1"/>
      <c r="V8" s="1"/>
      <c r="W8" s="1"/>
      <c r="X8" s="1"/>
      <c r="Y8" s="1"/>
      <c r="Z8" s="1"/>
      <c r="AA8" s="1"/>
      <c r="AB8" s="1"/>
      <c r="AC8" s="1"/>
      <c r="AD8" s="1"/>
      <c r="AE8" s="1"/>
      <c r="AF8" s="1"/>
      <c r="AG8" s="1"/>
      <c r="AH8" s="1"/>
      <c r="AI8" s="1"/>
      <c r="AJ8" s="1"/>
      <c r="AK8" s="1"/>
      <c r="AL8" s="1"/>
    </row>
    <row r="9" spans="1:38" s="5" customFormat="1" ht="11.25" customHeight="1">
      <c r="A9" s="21" t="s">
        <v>7</v>
      </c>
      <c r="B9" s="21">
        <v>51136</v>
      </c>
      <c r="C9" s="21">
        <v>52385</v>
      </c>
      <c r="D9" s="21">
        <v>52398</v>
      </c>
      <c r="E9" s="21">
        <v>52454</v>
      </c>
      <c r="F9" s="4"/>
      <c r="G9" s="6"/>
      <c r="H9" s="6"/>
      <c r="I9" s="6"/>
      <c r="J9" s="6"/>
      <c r="K9" s="4"/>
      <c r="L9" s="1"/>
      <c r="M9" s="1"/>
      <c r="N9" s="1"/>
      <c r="O9" s="1"/>
      <c r="P9" s="1"/>
      <c r="Q9" s="1"/>
      <c r="R9" s="1"/>
      <c r="S9" s="1"/>
      <c r="T9" s="1"/>
      <c r="U9" s="1"/>
      <c r="V9" s="1"/>
      <c r="W9" s="1"/>
      <c r="X9" s="1"/>
      <c r="Y9" s="1"/>
      <c r="Z9" s="1"/>
      <c r="AA9" s="1"/>
      <c r="AB9" s="1"/>
      <c r="AC9" s="1"/>
      <c r="AD9" s="1"/>
      <c r="AE9" s="1"/>
      <c r="AF9" s="1"/>
      <c r="AG9" s="1"/>
      <c r="AH9" s="1"/>
      <c r="AI9" s="1"/>
      <c r="AJ9" s="1"/>
      <c r="AK9" s="1"/>
      <c r="AL9" s="1"/>
    </row>
    <row r="10" spans="1:38" s="5" customFormat="1" ht="11.25" customHeight="1">
      <c r="A10" s="20" t="s">
        <v>8</v>
      </c>
      <c r="B10" s="20">
        <f>SUM(B5:B9)</f>
        <v>3511836</v>
      </c>
      <c r="C10" s="20">
        <f>SUM(C5:C9)</f>
        <v>3552729</v>
      </c>
      <c r="D10" s="20">
        <f>SUM(D5:D9)</f>
        <v>3503666</v>
      </c>
      <c r="E10" s="20">
        <f>SUM(E5:E9)</f>
        <v>3609435</v>
      </c>
      <c r="F10" s="4"/>
      <c r="G10" s="6"/>
      <c r="H10" s="6"/>
      <c r="I10" s="6"/>
      <c r="J10" s="6"/>
      <c r="K10" s="4"/>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s="5" customFormat="1" ht="12.75">
      <c r="A11" s="23" t="s">
        <v>0</v>
      </c>
      <c r="B11" s="23"/>
      <c r="C11" s="23"/>
      <c r="D11" s="23"/>
      <c r="E11" s="36"/>
      <c r="F11" s="17"/>
      <c r="G11" s="6"/>
      <c r="H11" s="6"/>
      <c r="I11" s="6"/>
      <c r="J11" s="6"/>
      <c r="K11" s="4"/>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s="5" customFormat="1" ht="11.25" customHeight="1">
      <c r="A12" s="24" t="s">
        <v>1</v>
      </c>
      <c r="B12" s="24"/>
      <c r="C12" s="24"/>
      <c r="D12" s="24"/>
      <c r="E12" s="37"/>
      <c r="F12" s="22"/>
      <c r="G12" s="6"/>
      <c r="H12" s="6"/>
      <c r="I12" s="6"/>
      <c r="J12" s="6"/>
      <c r="K12" s="4"/>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s="5" customFormat="1" ht="11.25" customHeight="1">
      <c r="A13" s="16" t="s">
        <v>37</v>
      </c>
      <c r="B13" s="16"/>
      <c r="C13" s="16"/>
      <c r="D13" s="16"/>
      <c r="E13" s="20"/>
      <c r="F13" s="4"/>
      <c r="G13" s="6"/>
      <c r="H13" s="6"/>
      <c r="I13" s="6"/>
      <c r="J13" s="6"/>
      <c r="K13" s="4"/>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s="5" customFormat="1" ht="11.25" customHeight="1">
      <c r="A14" s="21" t="s">
        <v>55</v>
      </c>
      <c r="B14" s="21">
        <v>989100</v>
      </c>
      <c r="C14" s="21">
        <v>1021361</v>
      </c>
      <c r="D14" s="21">
        <v>1048989</v>
      </c>
      <c r="E14" s="21">
        <v>1071102</v>
      </c>
      <c r="F14" s="4"/>
      <c r="G14" s="6"/>
      <c r="H14" s="6"/>
      <c r="I14" s="6"/>
      <c r="J14" s="6"/>
      <c r="K14" s="4"/>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5" s="9" customFormat="1" ht="12.75">
      <c r="A15" s="21" t="s">
        <v>56</v>
      </c>
      <c r="B15" s="21">
        <v>385703</v>
      </c>
      <c r="C15" s="21">
        <v>430556</v>
      </c>
      <c r="D15" s="21">
        <v>481763</v>
      </c>
      <c r="E15" s="21">
        <v>539571</v>
      </c>
    </row>
    <row r="16" spans="1:14" s="9" customFormat="1" ht="12.75">
      <c r="A16" s="25" t="s">
        <v>11</v>
      </c>
      <c r="B16" s="32">
        <v>218197</v>
      </c>
      <c r="C16" s="32">
        <v>247746</v>
      </c>
      <c r="D16" s="32">
        <v>260434</v>
      </c>
      <c r="E16" s="21">
        <v>277914</v>
      </c>
      <c r="F16" s="14"/>
      <c r="G16" s="28"/>
      <c r="H16" s="28"/>
      <c r="I16" s="28"/>
      <c r="J16" s="28"/>
      <c r="K16" s="28"/>
      <c r="L16" s="28"/>
      <c r="M16" s="28"/>
      <c r="N16" s="28"/>
    </row>
    <row r="17" spans="1:5" s="9" customFormat="1" ht="12.75">
      <c r="A17" s="25" t="s">
        <v>12</v>
      </c>
      <c r="B17" s="32"/>
      <c r="C17" s="32"/>
      <c r="D17" s="32"/>
      <c r="E17" s="21"/>
    </row>
    <row r="18" spans="1:5" s="9" customFormat="1" ht="12.75">
      <c r="A18" s="26" t="s">
        <v>13</v>
      </c>
      <c r="B18" s="33" t="s">
        <v>60</v>
      </c>
      <c r="C18" s="33" t="s">
        <v>59</v>
      </c>
      <c r="D18" s="33" t="s">
        <v>58</v>
      </c>
      <c r="E18" s="33" t="s">
        <v>57</v>
      </c>
    </row>
    <row r="19" spans="1:5" s="9" customFormat="1" ht="12.75">
      <c r="A19" s="25" t="s">
        <v>14</v>
      </c>
      <c r="B19" s="32">
        <v>157232</v>
      </c>
      <c r="C19" s="32">
        <v>261278</v>
      </c>
      <c r="D19" s="32">
        <v>321262</v>
      </c>
      <c r="E19" s="21">
        <v>327371</v>
      </c>
    </row>
    <row r="20" spans="1:5" s="9" customFormat="1" ht="12.75">
      <c r="A20" s="27" t="s">
        <v>8</v>
      </c>
      <c r="B20" s="11">
        <f>B14+B15+B16+B17+B18+B19</f>
        <v>1894613</v>
      </c>
      <c r="C20" s="11">
        <f>C14+C15+C16+C17+C18+C19</f>
        <v>2119093</v>
      </c>
      <c r="D20" s="11">
        <f>D14+D15+D16+D17+D18+D19</f>
        <v>2282645</v>
      </c>
      <c r="E20" s="11">
        <f>E14+E15+E16+E17+E18+E19</f>
        <v>2396244</v>
      </c>
    </row>
    <row r="21" spans="1:5" s="9" customFormat="1" ht="12.75">
      <c r="A21" s="21"/>
      <c r="B21" s="21"/>
      <c r="C21" s="21"/>
      <c r="D21" s="21"/>
      <c r="E21" s="21"/>
    </row>
    <row r="22" spans="1:14" ht="12.75">
      <c r="A22" s="12" t="s">
        <v>16</v>
      </c>
      <c r="B22" s="12"/>
      <c r="C22" s="12"/>
      <c r="D22" s="12"/>
      <c r="E22" s="38"/>
      <c r="F22" s="4"/>
      <c r="G22" s="4"/>
      <c r="H22" s="4"/>
      <c r="I22" s="4"/>
      <c r="J22" s="4"/>
      <c r="K22" s="4"/>
      <c r="L22" s="4"/>
      <c r="M22" s="4"/>
      <c r="N22" s="4"/>
    </row>
    <row r="23" spans="1:14" ht="12.75">
      <c r="A23" s="10" t="s">
        <v>24</v>
      </c>
      <c r="B23" s="10">
        <v>10444</v>
      </c>
      <c r="C23" s="10">
        <v>12921</v>
      </c>
      <c r="D23" s="10">
        <v>11292</v>
      </c>
      <c r="E23" s="10">
        <v>11020</v>
      </c>
      <c r="F23" s="4"/>
      <c r="G23" s="4"/>
      <c r="H23" s="4"/>
      <c r="I23" s="4"/>
      <c r="J23" s="4"/>
      <c r="K23" s="4"/>
      <c r="L23" s="4"/>
      <c r="M23" s="4"/>
      <c r="N23" s="4"/>
    </row>
    <row r="24" spans="1:14" ht="12.75">
      <c r="A24" s="10" t="s">
        <v>41</v>
      </c>
      <c r="B24" s="10">
        <v>14433</v>
      </c>
      <c r="C24" s="10">
        <v>20149</v>
      </c>
      <c r="D24" s="10">
        <v>22207</v>
      </c>
      <c r="E24" s="10">
        <v>20701</v>
      </c>
      <c r="F24" s="4"/>
      <c r="G24" s="4"/>
      <c r="H24" s="4"/>
      <c r="I24" s="4"/>
      <c r="J24" s="4"/>
      <c r="K24" s="4"/>
      <c r="L24" s="4"/>
      <c r="M24" s="4"/>
      <c r="N24" s="4"/>
    </row>
    <row r="25" spans="1:14" ht="12.75">
      <c r="A25" s="10" t="s">
        <v>25</v>
      </c>
      <c r="B25" s="10"/>
      <c r="D25" s="10"/>
      <c r="E25" s="10"/>
      <c r="F25" s="4"/>
      <c r="G25" s="4"/>
      <c r="H25" s="4"/>
      <c r="I25" s="4"/>
      <c r="J25" s="4"/>
      <c r="K25" s="4"/>
      <c r="L25" s="4"/>
      <c r="M25" s="4"/>
      <c r="N25" s="4"/>
    </row>
    <row r="26" spans="1:14" ht="22.5">
      <c r="A26" s="10" t="s">
        <v>19</v>
      </c>
      <c r="B26" s="10">
        <v>87127</v>
      </c>
      <c r="C26" s="10">
        <v>107560</v>
      </c>
      <c r="D26" s="10">
        <v>129781</v>
      </c>
      <c r="E26" s="10">
        <v>132452</v>
      </c>
      <c r="F26" s="4"/>
      <c r="G26" s="4"/>
      <c r="H26" s="4"/>
      <c r="I26" s="4"/>
      <c r="J26" s="4"/>
      <c r="K26" s="4"/>
      <c r="L26" s="4"/>
      <c r="M26" s="4"/>
      <c r="N26" s="4"/>
    </row>
    <row r="27" spans="1:14" ht="12.75">
      <c r="A27" s="10" t="s">
        <v>20</v>
      </c>
      <c r="B27" s="10">
        <v>60238</v>
      </c>
      <c r="C27" s="10">
        <v>66208</v>
      </c>
      <c r="D27" s="10">
        <v>73212</v>
      </c>
      <c r="E27" s="10">
        <v>78308</v>
      </c>
      <c r="F27" s="4"/>
      <c r="G27" s="4"/>
      <c r="H27" s="4"/>
      <c r="I27" s="4"/>
      <c r="J27" s="4"/>
      <c r="K27" s="4"/>
      <c r="L27" s="4"/>
      <c r="M27" s="4"/>
      <c r="N27" s="4"/>
    </row>
    <row r="28" spans="1:14" ht="12.75">
      <c r="A28" s="10" t="s">
        <v>21</v>
      </c>
      <c r="B28" s="10">
        <v>25162</v>
      </c>
      <c r="C28" s="10">
        <v>30906</v>
      </c>
      <c r="D28" s="10">
        <v>38688</v>
      </c>
      <c r="E28" s="10">
        <v>45416</v>
      </c>
      <c r="F28" s="4"/>
      <c r="G28" s="4"/>
      <c r="H28" s="4"/>
      <c r="I28" s="4"/>
      <c r="J28" s="4"/>
      <c r="K28" s="4"/>
      <c r="L28" s="4"/>
      <c r="M28" s="4"/>
      <c r="N28" s="4"/>
    </row>
    <row r="29" spans="1:14" ht="12.75">
      <c r="A29" s="10" t="s">
        <v>22</v>
      </c>
      <c r="B29" s="10">
        <v>7980</v>
      </c>
      <c r="C29" s="10">
        <v>7580</v>
      </c>
      <c r="D29" s="10">
        <v>11433</v>
      </c>
      <c r="E29" s="10">
        <v>15332</v>
      </c>
      <c r="F29" s="4"/>
      <c r="G29" s="4"/>
      <c r="H29" s="4"/>
      <c r="I29" s="4"/>
      <c r="J29" s="4"/>
      <c r="K29" s="4"/>
      <c r="L29" s="4"/>
      <c r="M29" s="4"/>
      <c r="N29" s="4"/>
    </row>
    <row r="30" spans="1:14" ht="12.75">
      <c r="A30" s="10" t="s">
        <v>23</v>
      </c>
      <c r="B30" s="10">
        <v>138367</v>
      </c>
      <c r="C30" s="10">
        <v>149126</v>
      </c>
      <c r="D30" s="10">
        <v>173268</v>
      </c>
      <c r="E30" s="10">
        <v>185578</v>
      </c>
      <c r="F30" s="4"/>
      <c r="G30" s="4"/>
      <c r="H30" s="4"/>
      <c r="I30" s="4"/>
      <c r="J30" s="4"/>
      <c r="K30" s="4"/>
      <c r="L30" s="4"/>
      <c r="M30" s="4"/>
      <c r="N30" s="4"/>
    </row>
    <row r="31" spans="1:14" ht="12.75">
      <c r="A31" s="11" t="s">
        <v>8</v>
      </c>
      <c r="B31" s="11">
        <f>SUM(B23:B30)</f>
        <v>343751</v>
      </c>
      <c r="C31" s="11">
        <f>SUM(C23:C30)</f>
        <v>394450</v>
      </c>
      <c r="D31" s="11">
        <f>SUM(D23:D30)</f>
        <v>459881</v>
      </c>
      <c r="E31" s="11">
        <f>SUM(E23:E30)</f>
        <v>488807</v>
      </c>
      <c r="F31" s="4"/>
      <c r="G31" s="4"/>
      <c r="H31" s="4"/>
      <c r="I31" s="4"/>
      <c r="J31" s="4"/>
      <c r="K31" s="4"/>
      <c r="L31" s="4"/>
      <c r="M31" s="4"/>
      <c r="N31" s="4"/>
    </row>
    <row r="32" spans="1:14" ht="12.75">
      <c r="A32" s="12"/>
      <c r="B32" s="12"/>
      <c r="C32" s="12"/>
      <c r="D32" s="12"/>
      <c r="E32" s="38"/>
      <c r="F32" s="4"/>
      <c r="G32" s="4"/>
      <c r="H32" s="4"/>
      <c r="I32" s="4"/>
      <c r="J32" s="4"/>
      <c r="K32" s="4"/>
      <c r="L32" s="4"/>
      <c r="M32" s="4"/>
      <c r="N32" s="4"/>
    </row>
    <row r="33" spans="1:14" ht="12.75">
      <c r="A33" s="13" t="s">
        <v>15</v>
      </c>
      <c r="B33" s="30"/>
      <c r="C33" s="30"/>
      <c r="D33" s="30"/>
      <c r="E33" s="39"/>
      <c r="F33" s="4"/>
      <c r="G33" s="4"/>
      <c r="H33" s="4"/>
      <c r="I33" s="4"/>
      <c r="J33" s="4"/>
      <c r="K33" s="4"/>
      <c r="L33" s="4"/>
      <c r="M33" s="4"/>
      <c r="N33" s="4"/>
    </row>
    <row r="34" spans="1:14" ht="12.75">
      <c r="A34" s="10" t="s">
        <v>17</v>
      </c>
      <c r="B34" s="10">
        <v>416698</v>
      </c>
      <c r="C34" s="10">
        <v>445828</v>
      </c>
      <c r="D34" s="10">
        <v>439432</v>
      </c>
      <c r="E34" s="10">
        <v>445376</v>
      </c>
      <c r="F34" s="4"/>
      <c r="G34" s="4"/>
      <c r="H34" s="4"/>
      <c r="I34" s="4"/>
      <c r="J34" s="4"/>
      <c r="K34" s="4"/>
      <c r="L34" s="4"/>
      <c r="M34" s="4"/>
      <c r="N34" s="4"/>
    </row>
    <row r="35" spans="1:14" ht="12.75">
      <c r="A35" s="10" t="s">
        <v>18</v>
      </c>
      <c r="B35" s="10">
        <v>268068</v>
      </c>
      <c r="C35" s="10">
        <v>289722</v>
      </c>
      <c r="D35" s="10">
        <v>310023</v>
      </c>
      <c r="E35" s="10">
        <v>337824</v>
      </c>
      <c r="F35" s="4"/>
      <c r="G35" s="4"/>
      <c r="H35" s="4"/>
      <c r="I35" s="4"/>
      <c r="J35" s="4"/>
      <c r="K35" s="4"/>
      <c r="L35" s="4"/>
      <c r="M35" s="4"/>
      <c r="N35" s="4"/>
    </row>
    <row r="36" spans="1:14" ht="22.5">
      <c r="A36" s="10" t="s">
        <v>19</v>
      </c>
      <c r="B36" s="10">
        <v>192916</v>
      </c>
      <c r="C36" s="10">
        <v>218242</v>
      </c>
      <c r="D36" s="10">
        <v>238034</v>
      </c>
      <c r="E36" s="10">
        <v>239802</v>
      </c>
      <c r="F36" s="4"/>
      <c r="G36" s="4"/>
      <c r="H36" s="4"/>
      <c r="I36" s="4"/>
      <c r="J36" s="4"/>
      <c r="K36" s="4"/>
      <c r="L36" s="4"/>
      <c r="M36" s="4"/>
      <c r="N36" s="4"/>
    </row>
    <row r="37" spans="1:14" ht="12.75">
      <c r="A37" s="10" t="s">
        <v>20</v>
      </c>
      <c r="B37" s="10">
        <v>129899</v>
      </c>
      <c r="C37" s="10">
        <v>139955</v>
      </c>
      <c r="D37" s="10">
        <v>155357</v>
      </c>
      <c r="E37" s="10">
        <v>170284</v>
      </c>
      <c r="F37" s="4"/>
      <c r="G37" s="4"/>
      <c r="H37" s="4"/>
      <c r="I37" s="4"/>
      <c r="J37" s="4"/>
      <c r="K37" s="4"/>
      <c r="L37" s="4"/>
      <c r="M37" s="4"/>
      <c r="N37" s="4"/>
    </row>
    <row r="38" spans="1:14" ht="12.75">
      <c r="A38" s="10" t="s">
        <v>21</v>
      </c>
      <c r="B38" s="10">
        <v>114599</v>
      </c>
      <c r="C38" s="10">
        <v>120280</v>
      </c>
      <c r="D38" s="10">
        <v>128949</v>
      </c>
      <c r="E38" s="10">
        <v>138719</v>
      </c>
      <c r="F38" s="4"/>
      <c r="G38" s="4"/>
      <c r="H38" s="4"/>
      <c r="I38" s="4"/>
      <c r="J38" s="4"/>
      <c r="K38" s="4"/>
      <c r="L38" s="4"/>
      <c r="M38" s="4"/>
      <c r="N38" s="4"/>
    </row>
    <row r="39" spans="1:14" ht="12.75">
      <c r="A39" s="10" t="s">
        <v>22</v>
      </c>
      <c r="B39" s="10">
        <v>47916</v>
      </c>
      <c r="C39" s="10">
        <v>52356</v>
      </c>
      <c r="D39" s="10">
        <v>60197</v>
      </c>
      <c r="E39" s="10">
        <v>68360</v>
      </c>
      <c r="F39" s="4"/>
      <c r="G39" s="4"/>
      <c r="H39" s="4"/>
      <c r="I39" s="4"/>
      <c r="J39" s="4"/>
      <c r="K39" s="4"/>
      <c r="L39" s="4"/>
      <c r="M39" s="4"/>
      <c r="N39" s="4"/>
    </row>
    <row r="40" spans="1:14" ht="12.75">
      <c r="A40" s="10" t="s">
        <v>23</v>
      </c>
      <c r="B40" s="10">
        <v>30597</v>
      </c>
      <c r="C40" s="10">
        <v>27879</v>
      </c>
      <c r="D40" s="10">
        <v>33642</v>
      </c>
      <c r="E40" s="10">
        <v>30621</v>
      </c>
      <c r="F40" s="4"/>
      <c r="G40" s="4"/>
      <c r="H40" s="4"/>
      <c r="I40" s="4"/>
      <c r="J40" s="4"/>
      <c r="K40" s="4"/>
      <c r="L40" s="4"/>
      <c r="M40" s="4"/>
      <c r="N40" s="4"/>
    </row>
    <row r="41" spans="1:14" ht="12.75">
      <c r="A41" s="11" t="s">
        <v>8</v>
      </c>
      <c r="B41" s="11">
        <f>SUM(B34:B40)</f>
        <v>1200693</v>
      </c>
      <c r="C41" s="11">
        <f>SUM(C34:C40)</f>
        <v>1294262</v>
      </c>
      <c r="D41" s="11">
        <f>SUM(D34:D40)</f>
        <v>1365634</v>
      </c>
      <c r="E41" s="11">
        <f>SUM(E34:E40)</f>
        <v>1430986</v>
      </c>
      <c r="F41" s="4"/>
      <c r="G41" s="4"/>
      <c r="H41" s="4"/>
      <c r="I41" s="4"/>
      <c r="J41" s="4"/>
      <c r="K41" s="4"/>
      <c r="L41" s="4"/>
      <c r="M41" s="4"/>
      <c r="N41" s="4"/>
    </row>
    <row r="42" spans="1:5" ht="12.75">
      <c r="A42" s="9"/>
      <c r="B42" s="9"/>
      <c r="C42" s="9"/>
      <c r="D42" s="9"/>
      <c r="E42" s="40"/>
    </row>
    <row r="43" spans="1:7" ht="12.75">
      <c r="A43" s="8" t="s">
        <v>26</v>
      </c>
      <c r="B43" s="8"/>
      <c r="C43" s="8"/>
      <c r="D43" s="8"/>
      <c r="E43" s="34"/>
      <c r="G43" s="7"/>
    </row>
    <row r="44" spans="1:5" ht="12.75">
      <c r="A44" s="10" t="s">
        <v>28</v>
      </c>
      <c r="B44" s="10">
        <v>546670</v>
      </c>
      <c r="C44" s="10">
        <v>595067</v>
      </c>
      <c r="D44" s="10">
        <v>637434</v>
      </c>
      <c r="E44" s="10">
        <v>679205</v>
      </c>
    </row>
    <row r="45" spans="1:5" ht="12.75">
      <c r="A45" s="10" t="s">
        <v>29</v>
      </c>
      <c r="B45" s="10">
        <v>1721</v>
      </c>
      <c r="C45" s="10">
        <v>1112</v>
      </c>
      <c r="D45" s="10">
        <v>1287</v>
      </c>
      <c r="E45" s="10">
        <v>1152</v>
      </c>
    </row>
    <row r="46" spans="1:5" ht="12.75">
      <c r="A46" s="10" t="s">
        <v>30</v>
      </c>
      <c r="B46" s="10">
        <v>110054</v>
      </c>
      <c r="C46" s="10">
        <v>138908</v>
      </c>
      <c r="D46" s="10">
        <v>140183</v>
      </c>
      <c r="E46" s="10">
        <v>159000</v>
      </c>
    </row>
    <row r="47" spans="1:5" ht="12.75">
      <c r="A47" s="10" t="s">
        <v>6</v>
      </c>
      <c r="B47" s="10">
        <v>17438</v>
      </c>
      <c r="C47" s="10">
        <v>19585</v>
      </c>
      <c r="D47" s="10">
        <v>18595</v>
      </c>
      <c r="E47" s="10">
        <v>22060</v>
      </c>
    </row>
    <row r="48" spans="1:5" ht="12.75">
      <c r="A48" s="10" t="s">
        <v>31</v>
      </c>
      <c r="B48" s="10">
        <v>2525</v>
      </c>
      <c r="C48" s="10">
        <v>3308</v>
      </c>
      <c r="D48" s="10">
        <v>8520</v>
      </c>
      <c r="E48" s="10">
        <v>13286</v>
      </c>
    </row>
    <row r="49" spans="1:5" ht="12.75">
      <c r="A49" s="10" t="s">
        <v>47</v>
      </c>
      <c r="B49" s="10"/>
      <c r="C49" s="10"/>
      <c r="D49" s="10"/>
      <c r="E49" s="10"/>
    </row>
    <row r="50" spans="1:5" ht="12.75">
      <c r="A50" s="10" t="s">
        <v>32</v>
      </c>
      <c r="B50" s="10">
        <v>362544</v>
      </c>
      <c r="C50" s="10">
        <v>411259</v>
      </c>
      <c r="D50" s="10">
        <v>459917</v>
      </c>
      <c r="E50" s="10">
        <v>453185</v>
      </c>
    </row>
    <row r="51" spans="1:5" ht="12.75">
      <c r="A51" s="11" t="s">
        <v>8</v>
      </c>
      <c r="B51" s="11">
        <f>SUM(B44:B50)</f>
        <v>1040952</v>
      </c>
      <c r="C51" s="11">
        <f>SUM(C44:C50)</f>
        <v>1169239</v>
      </c>
      <c r="D51" s="11">
        <f>SUM(D44:D50)</f>
        <v>1265936</v>
      </c>
      <c r="E51" s="11">
        <f>SUM(E44:E50)</f>
        <v>1327888</v>
      </c>
    </row>
    <row r="52" spans="1:5" ht="12.75">
      <c r="A52" s="11" t="s">
        <v>27</v>
      </c>
      <c r="B52" s="11"/>
      <c r="C52" s="11"/>
      <c r="D52" s="11"/>
      <c r="E52" s="11"/>
    </row>
    <row r="53" spans="1:5" ht="12.75">
      <c r="A53" s="10" t="s">
        <v>33</v>
      </c>
      <c r="B53" s="10">
        <v>66593</v>
      </c>
      <c r="C53" s="10">
        <v>63423</v>
      </c>
      <c r="D53" s="10">
        <v>69202</v>
      </c>
      <c r="E53" s="10">
        <v>70175</v>
      </c>
    </row>
    <row r="54" spans="1:5" ht="12.75">
      <c r="A54" s="10" t="s">
        <v>34</v>
      </c>
      <c r="B54" s="10">
        <v>22477</v>
      </c>
      <c r="C54" s="10">
        <v>25805</v>
      </c>
      <c r="D54" s="10">
        <v>26528</v>
      </c>
      <c r="E54" s="10">
        <v>25510</v>
      </c>
    </row>
    <row r="55" spans="1:5" ht="12.75">
      <c r="A55" s="10" t="s">
        <v>35</v>
      </c>
      <c r="B55" s="10">
        <v>109649</v>
      </c>
      <c r="C55" s="10">
        <v>126411</v>
      </c>
      <c r="D55" s="10">
        <v>129950</v>
      </c>
      <c r="E55" s="10">
        <v>151277</v>
      </c>
    </row>
    <row r="56" spans="1:5" ht="12.75">
      <c r="A56" s="11" t="s">
        <v>8</v>
      </c>
      <c r="B56" s="11">
        <f>SUM(B53:B55)</f>
        <v>198719</v>
      </c>
      <c r="C56" s="11">
        <f>SUM(C53:C55)</f>
        <v>215639</v>
      </c>
      <c r="D56" s="11">
        <f>SUM(D53:D55)</f>
        <v>225680</v>
      </c>
      <c r="E56" s="11">
        <f>SUM(E53:E55)</f>
        <v>246962</v>
      </c>
    </row>
    <row r="57" spans="1:5" ht="12.75">
      <c r="A57" s="9"/>
      <c r="B57" s="9"/>
      <c r="C57" s="9"/>
      <c r="D57" s="9"/>
      <c r="E57" s="40"/>
    </row>
    <row r="58" spans="2:5" ht="12.75">
      <c r="B58" s="29">
        <f>B10+B20+B31+B41+B51+B56</f>
        <v>8190564</v>
      </c>
      <c r="C58" s="29">
        <f>C10+C20+C31+C41+C51+C56</f>
        <v>8745412</v>
      </c>
      <c r="D58" s="29">
        <f>D10+D20+D31+D41+D51+D56</f>
        <v>9103442</v>
      </c>
      <c r="E58" s="29">
        <f>E10+E20+E31+E41+E51+E56</f>
        <v>9500322</v>
      </c>
    </row>
    <row r="59" spans="1:5" ht="12.75">
      <c r="A59" s="47" t="s">
        <v>63</v>
      </c>
      <c r="B59" s="47">
        <v>3.6</v>
      </c>
      <c r="C59" s="47">
        <v>2.1</v>
      </c>
      <c r="D59" s="47">
        <v>3.5</v>
      </c>
      <c r="E59" s="48">
        <v>3.3</v>
      </c>
    </row>
    <row r="60" spans="1:5" ht="12.75">
      <c r="A60" s="49" t="s">
        <v>62</v>
      </c>
      <c r="B60" s="48">
        <f>(B59/100)+1</f>
        <v>1.036</v>
      </c>
      <c r="C60" s="48">
        <f>(C59/100)+1</f>
        <v>1.021</v>
      </c>
      <c r="D60" s="48">
        <f>(D59/100)+1</f>
        <v>1.035</v>
      </c>
      <c r="E60" s="48">
        <f>(E59/100)+1</f>
        <v>1.033</v>
      </c>
    </row>
    <row r="61" spans="1:5" s="47" customFormat="1" ht="11.25">
      <c r="A61" s="47" t="s">
        <v>61</v>
      </c>
      <c r="B61" s="51">
        <f>B60*C61</f>
        <v>1.254566310273882</v>
      </c>
      <c r="C61" s="51">
        <f>C60*D61</f>
        <v>1.2109713419632064</v>
      </c>
      <c r="D61" s="51">
        <f>D60*E61</f>
        <v>1.1860639980050995</v>
      </c>
      <c r="E61" s="53">
        <f>E60*'98-04 (cash)'!B62</f>
        <v>1.1459555536281156</v>
      </c>
    </row>
  </sheetData>
  <mergeCells count="4">
    <mergeCell ref="B5:B7"/>
    <mergeCell ref="E5:E7"/>
    <mergeCell ref="D5:D7"/>
    <mergeCell ref="C5:C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P62"/>
  <sheetViews>
    <sheetView workbookViewId="0" topLeftCell="A1">
      <pane xSplit="1" ySplit="2" topLeftCell="B33" activePane="bottomRight" state="frozen"/>
      <selection pane="topLeft" activeCell="A1" sqref="A1"/>
      <selection pane="topRight" activeCell="B1" sqref="B1"/>
      <selection pane="bottomLeft" activeCell="A3" sqref="A3"/>
      <selection pane="bottomRight" activeCell="F62" sqref="F62"/>
    </sheetView>
  </sheetViews>
  <sheetFormatPr defaultColWidth="9.140625" defaultRowHeight="12.75"/>
  <cols>
    <col min="1" max="1" width="49.140625" style="0" bestFit="1" customWidth="1"/>
    <col min="2" max="4" width="10.7109375" style="0" customWidth="1"/>
    <col min="5" max="5" width="10.7109375" style="41" customWidth="1"/>
    <col min="6" max="6" width="10.7109375" style="0" customWidth="1"/>
    <col min="8" max="8" width="8.00390625" style="66" bestFit="1" customWidth="1"/>
    <col min="9" max="9" width="8.7109375" style="66" bestFit="1" customWidth="1"/>
    <col min="10" max="10" width="9.57421875" style="66" bestFit="1" customWidth="1"/>
    <col min="11" max="11" width="8.00390625" style="72" bestFit="1" customWidth="1"/>
    <col min="12" max="12" width="10.140625" style="63" bestFit="1" customWidth="1"/>
  </cols>
  <sheetData>
    <row r="1" spans="5:42" s="3" customFormat="1" ht="11.25">
      <c r="E1" s="15"/>
      <c r="H1" s="64"/>
      <c r="I1" s="64"/>
      <c r="J1" s="64"/>
      <c r="K1" s="15"/>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s="5" customFormat="1" ht="11.25" customHeight="1">
      <c r="A2" s="8"/>
      <c r="B2" s="8" t="s">
        <v>45</v>
      </c>
      <c r="C2" s="8" t="s">
        <v>44</v>
      </c>
      <c r="D2" s="8" t="s">
        <v>42</v>
      </c>
      <c r="E2" s="34" t="s">
        <v>39</v>
      </c>
      <c r="F2" s="8" t="s">
        <v>49</v>
      </c>
      <c r="G2" s="5" t="s">
        <v>38</v>
      </c>
      <c r="H2" s="28" t="s">
        <v>73</v>
      </c>
      <c r="I2" s="28" t="s">
        <v>74</v>
      </c>
      <c r="J2" s="28" t="s">
        <v>66</v>
      </c>
      <c r="K2" s="28" t="s">
        <v>76</v>
      </c>
      <c r="L2" s="28" t="s">
        <v>75</v>
      </c>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s="5" customFormat="1" ht="11.25" customHeight="1">
      <c r="A3" s="18" t="s">
        <v>36</v>
      </c>
      <c r="B3" s="18"/>
      <c r="C3" s="18"/>
      <c r="D3" s="18"/>
      <c r="E3" s="35"/>
      <c r="F3" s="18"/>
      <c r="G3" s="17"/>
      <c r="H3" s="60"/>
      <c r="I3" s="60"/>
      <c r="J3" s="60"/>
      <c r="K3" s="69"/>
      <c r="L3" s="44"/>
      <c r="M3" s="7"/>
      <c r="N3" s="7"/>
      <c r="O3" s="4"/>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s="5" customFormat="1" ht="11.25" customHeight="1">
      <c r="A4" s="19" t="s">
        <v>2</v>
      </c>
      <c r="B4" s="19"/>
      <c r="C4" s="19"/>
      <c r="D4" s="19"/>
      <c r="E4" s="31"/>
      <c r="F4" s="19"/>
      <c r="G4" s="19"/>
      <c r="H4" s="65"/>
      <c r="I4" s="65"/>
      <c r="J4" s="65"/>
      <c r="K4" s="70"/>
      <c r="L4" s="42"/>
      <c r="M4" s="6"/>
      <c r="N4" s="6"/>
      <c r="O4" s="4"/>
      <c r="P4" s="1"/>
      <c r="Q4" s="1"/>
      <c r="R4" s="1"/>
      <c r="S4" s="1"/>
      <c r="T4" s="1"/>
      <c r="U4" s="1"/>
      <c r="V4" s="1"/>
      <c r="W4" s="1"/>
      <c r="X4" s="1"/>
      <c r="Y4" s="1"/>
      <c r="Z4" s="1"/>
      <c r="AA4" s="1"/>
      <c r="AB4" s="1"/>
      <c r="AC4" s="1"/>
      <c r="AD4" s="1"/>
      <c r="AE4" s="1"/>
      <c r="AF4" s="1"/>
      <c r="AG4" s="1"/>
      <c r="AH4" s="1"/>
      <c r="AI4" s="1"/>
      <c r="AJ4" s="1"/>
      <c r="AK4" s="1"/>
      <c r="AL4" s="1"/>
      <c r="AM4" s="1"/>
      <c r="AN4" s="1"/>
      <c r="AO4" s="1"/>
      <c r="AP4" s="1"/>
    </row>
    <row r="5" spans="1:42" s="5" customFormat="1" ht="11.25" customHeight="1">
      <c r="A5" s="21" t="s">
        <v>3</v>
      </c>
      <c r="B5" s="227">
        <v>3735709</v>
      </c>
      <c r="C5" s="227">
        <v>3916890</v>
      </c>
      <c r="D5" s="227">
        <v>4154816</v>
      </c>
      <c r="E5" s="227">
        <v>4397192</v>
      </c>
      <c r="F5" s="42">
        <v>3314369</v>
      </c>
      <c r="G5" s="43">
        <v>3501575</v>
      </c>
      <c r="H5" s="60">
        <f>G5</f>
        <v>3501575</v>
      </c>
      <c r="I5" s="60"/>
      <c r="J5" s="60"/>
      <c r="K5" s="70"/>
      <c r="L5" s="42">
        <f>G5</f>
        <v>3501575</v>
      </c>
      <c r="M5" s="6"/>
      <c r="N5" s="6"/>
      <c r="O5" s="4"/>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s="5" customFormat="1" ht="11.25" customHeight="1">
      <c r="A6" s="21" t="s">
        <v>4</v>
      </c>
      <c r="B6" s="227"/>
      <c r="C6" s="227"/>
      <c r="D6" s="227"/>
      <c r="E6" s="227"/>
      <c r="F6" s="42">
        <v>940703</v>
      </c>
      <c r="G6" s="43">
        <v>1037044</v>
      </c>
      <c r="H6" s="60">
        <f>G6</f>
        <v>1037044</v>
      </c>
      <c r="I6" s="60"/>
      <c r="J6" s="60"/>
      <c r="K6" s="70">
        <f>G6</f>
        <v>1037044</v>
      </c>
      <c r="L6" s="42"/>
      <c r="M6" s="6"/>
      <c r="N6" s="6"/>
      <c r="O6" s="4"/>
      <c r="P6" s="1"/>
      <c r="Q6" s="1"/>
      <c r="R6" s="1"/>
      <c r="S6" s="1"/>
      <c r="T6" s="1"/>
      <c r="U6" s="1"/>
      <c r="V6" s="1"/>
      <c r="W6" s="1"/>
      <c r="X6" s="1"/>
      <c r="Y6" s="1"/>
      <c r="Z6" s="1"/>
      <c r="AA6" s="1"/>
      <c r="AB6" s="1"/>
      <c r="AC6" s="1"/>
      <c r="AD6" s="1"/>
      <c r="AE6" s="1"/>
      <c r="AF6" s="1"/>
      <c r="AG6" s="1"/>
      <c r="AH6" s="1"/>
      <c r="AI6" s="1"/>
      <c r="AJ6" s="1"/>
      <c r="AK6" s="1"/>
      <c r="AL6" s="1"/>
      <c r="AM6" s="1"/>
      <c r="AN6" s="1"/>
      <c r="AO6" s="1"/>
      <c r="AP6" s="1"/>
    </row>
    <row r="7" spans="1:42" s="5" customFormat="1" ht="11.25" customHeight="1">
      <c r="A7" s="21" t="s">
        <v>5</v>
      </c>
      <c r="B7" s="228"/>
      <c r="C7" s="228"/>
      <c r="D7" s="228"/>
      <c r="E7" s="228"/>
      <c r="F7" s="42">
        <v>396869</v>
      </c>
      <c r="G7" s="43">
        <v>490721</v>
      </c>
      <c r="H7" s="60">
        <f>G7</f>
        <v>490721</v>
      </c>
      <c r="I7" s="60"/>
      <c r="J7" s="60"/>
      <c r="K7" s="70">
        <f>50000</f>
        <v>50000</v>
      </c>
      <c r="L7" s="42">
        <f>G7-K7</f>
        <v>440721</v>
      </c>
      <c r="M7" s="6"/>
      <c r="N7" s="6"/>
      <c r="O7" s="4"/>
      <c r="P7" s="1"/>
      <c r="Q7" s="1"/>
      <c r="R7" s="1"/>
      <c r="S7" s="1"/>
      <c r="T7" s="1"/>
      <c r="U7" s="1"/>
      <c r="V7" s="1"/>
      <c r="W7" s="1"/>
      <c r="X7" s="1"/>
      <c r="Y7" s="1"/>
      <c r="Z7" s="1"/>
      <c r="AA7" s="1"/>
      <c r="AB7" s="1"/>
      <c r="AC7" s="1"/>
      <c r="AD7" s="1"/>
      <c r="AE7" s="1"/>
      <c r="AF7" s="1"/>
      <c r="AG7" s="1"/>
      <c r="AH7" s="1"/>
      <c r="AI7" s="1"/>
      <c r="AJ7" s="1"/>
      <c r="AK7" s="1"/>
      <c r="AL7" s="1"/>
      <c r="AM7" s="1"/>
      <c r="AN7" s="1"/>
      <c r="AO7" s="1"/>
      <c r="AP7" s="1"/>
    </row>
    <row r="8" spans="1:42" s="5" customFormat="1" ht="11.25" customHeight="1">
      <c r="A8" s="21" t="s">
        <v>6</v>
      </c>
      <c r="B8" s="21">
        <v>153228</v>
      </c>
      <c r="C8" s="21">
        <v>146749</v>
      </c>
      <c r="D8" s="21">
        <v>76614</v>
      </c>
      <c r="E8" s="21">
        <v>83153</v>
      </c>
      <c r="F8" s="21">
        <v>102882</v>
      </c>
      <c r="G8" s="43">
        <v>128250</v>
      </c>
      <c r="H8" s="60">
        <f>G8</f>
        <v>128250</v>
      </c>
      <c r="I8" s="60"/>
      <c r="J8" s="60"/>
      <c r="K8" s="70">
        <f>G8/2</f>
        <v>64125</v>
      </c>
      <c r="L8" s="42">
        <f>G8/2</f>
        <v>64125</v>
      </c>
      <c r="M8" s="6"/>
      <c r="N8" s="6"/>
      <c r="O8" s="4"/>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s="5" customFormat="1" ht="11.25" customHeight="1">
      <c r="A9" s="21" t="s">
        <v>7</v>
      </c>
      <c r="B9" s="21">
        <v>61315</v>
      </c>
      <c r="C9" s="21">
        <v>63978</v>
      </c>
      <c r="D9" s="21">
        <v>68455</v>
      </c>
      <c r="E9" s="21">
        <v>70509</v>
      </c>
      <c r="F9" s="21">
        <v>82755</v>
      </c>
      <c r="G9" s="43">
        <v>85817</v>
      </c>
      <c r="H9" s="60">
        <f>G9</f>
        <v>85817</v>
      </c>
      <c r="I9" s="60"/>
      <c r="J9" s="60"/>
      <c r="K9" s="70"/>
      <c r="L9" s="42">
        <f>G9</f>
        <v>85817</v>
      </c>
      <c r="M9" s="6"/>
      <c r="N9" s="6"/>
      <c r="O9" s="4"/>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s="5" customFormat="1" ht="11.25" customHeight="1">
      <c r="A10" s="20" t="s">
        <v>8</v>
      </c>
      <c r="B10" s="20">
        <f>SUM(B5:B9)</f>
        <v>3950252</v>
      </c>
      <c r="C10" s="20">
        <f>SUM(C5:C9)</f>
        <v>4127617</v>
      </c>
      <c r="D10" s="20">
        <f>SUM(D5:D9)</f>
        <v>4299885</v>
      </c>
      <c r="E10" s="20">
        <f>SUM(E5:E9)</f>
        <v>4550854</v>
      </c>
      <c r="F10" s="20">
        <f>SUM(F5:F9)</f>
        <v>4837578</v>
      </c>
      <c r="G10" s="4">
        <v>5243407</v>
      </c>
      <c r="H10" s="60"/>
      <c r="I10" s="60"/>
      <c r="J10" s="60"/>
      <c r="K10" s="70"/>
      <c r="L10" s="42"/>
      <c r="M10" s="6"/>
      <c r="N10" s="6"/>
      <c r="O10" s="4"/>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s="5" customFormat="1" ht="12.75">
      <c r="A11" s="23" t="s">
        <v>0</v>
      </c>
      <c r="B11" s="23"/>
      <c r="C11" s="23"/>
      <c r="D11" s="23"/>
      <c r="E11" s="36"/>
      <c r="F11" s="23"/>
      <c r="G11" s="17"/>
      <c r="H11" s="60"/>
      <c r="I11" s="60"/>
      <c r="J11" s="60"/>
      <c r="K11" s="70"/>
      <c r="L11" s="42"/>
      <c r="M11" s="6"/>
      <c r="N11" s="6"/>
      <c r="O11" s="4"/>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s="5" customFormat="1" ht="11.25" customHeight="1">
      <c r="A12" s="24" t="s">
        <v>1</v>
      </c>
      <c r="B12" s="24"/>
      <c r="C12" s="24"/>
      <c r="D12" s="24"/>
      <c r="E12" s="37"/>
      <c r="F12" s="24"/>
      <c r="G12" s="22"/>
      <c r="H12" s="61"/>
      <c r="I12" s="61"/>
      <c r="J12" s="61"/>
      <c r="K12" s="70"/>
      <c r="L12" s="42"/>
      <c r="M12" s="6"/>
      <c r="N12" s="6"/>
      <c r="O12" s="4"/>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s="5" customFormat="1" ht="11.25" customHeight="1">
      <c r="A13" s="16" t="s">
        <v>37</v>
      </c>
      <c r="B13" s="16"/>
      <c r="C13" s="16"/>
      <c r="D13" s="16"/>
      <c r="E13" s="20"/>
      <c r="F13" s="16"/>
      <c r="G13" s="4"/>
      <c r="H13" s="60"/>
      <c r="I13" s="60"/>
      <c r="J13" s="60"/>
      <c r="K13" s="70"/>
      <c r="L13" s="42"/>
      <c r="M13" s="6"/>
      <c r="N13" s="6"/>
      <c r="O13" s="4"/>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s="5" customFormat="1" ht="11.25" customHeight="1">
      <c r="A14" s="21" t="s">
        <v>9</v>
      </c>
      <c r="B14" s="21">
        <v>912359</v>
      </c>
      <c r="C14" s="21">
        <v>934933</v>
      </c>
      <c r="D14" s="21">
        <v>964477</v>
      </c>
      <c r="E14" s="21">
        <v>994455</v>
      </c>
      <c r="F14" s="21">
        <v>1041156</v>
      </c>
      <c r="G14" s="44">
        <v>1089950</v>
      </c>
      <c r="H14" s="60"/>
      <c r="I14" s="60"/>
      <c r="J14" s="60">
        <f>G14</f>
        <v>1089950</v>
      </c>
      <c r="K14" s="70"/>
      <c r="L14" s="42"/>
      <c r="M14" s="6"/>
      <c r="N14" s="6"/>
      <c r="O14" s="4"/>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12" s="9" customFormat="1" ht="12.75">
      <c r="A15" s="21" t="s">
        <v>10</v>
      </c>
      <c r="B15" s="21">
        <v>287909</v>
      </c>
      <c r="C15" s="21">
        <v>341504</v>
      </c>
      <c r="D15" s="21">
        <v>380495</v>
      </c>
      <c r="E15" s="21">
        <v>440231</v>
      </c>
      <c r="F15" s="21">
        <v>519359</v>
      </c>
      <c r="G15" s="44">
        <v>567254</v>
      </c>
      <c r="H15" s="67"/>
      <c r="I15" s="68">
        <f>G15</f>
        <v>567254</v>
      </c>
      <c r="J15" s="67"/>
      <c r="K15" s="71"/>
      <c r="L15" s="62"/>
    </row>
    <row r="16" spans="1:18" s="9" customFormat="1" ht="12.75">
      <c r="A16" s="25" t="s">
        <v>11</v>
      </c>
      <c r="B16" s="32">
        <v>308080</v>
      </c>
      <c r="C16" s="32">
        <v>331225</v>
      </c>
      <c r="D16" s="32">
        <v>341154</v>
      </c>
      <c r="E16" s="21">
        <v>363006</v>
      </c>
      <c r="F16" s="32">
        <v>385613</v>
      </c>
      <c r="G16" s="42">
        <v>395728</v>
      </c>
      <c r="H16" s="67"/>
      <c r="I16" s="68">
        <f>G16</f>
        <v>395728</v>
      </c>
      <c r="J16" s="67"/>
      <c r="K16" s="15"/>
      <c r="L16" s="64"/>
      <c r="M16" s="28"/>
      <c r="N16" s="28"/>
      <c r="O16" s="28"/>
      <c r="P16" s="28"/>
      <c r="Q16" s="28"/>
      <c r="R16" s="28"/>
    </row>
    <row r="17" spans="1:12" s="9" customFormat="1" ht="12.75">
      <c r="A17" s="25" t="s">
        <v>12</v>
      </c>
      <c r="B17" s="32">
        <v>552553</v>
      </c>
      <c r="C17" s="32">
        <v>583086</v>
      </c>
      <c r="D17" s="32">
        <v>648976</v>
      </c>
      <c r="E17" s="21">
        <v>763447</v>
      </c>
      <c r="F17" s="32">
        <v>950530</v>
      </c>
      <c r="G17" s="42">
        <v>1121494</v>
      </c>
      <c r="H17" s="67"/>
      <c r="I17" s="68">
        <f>G17</f>
        <v>1121494</v>
      </c>
      <c r="J17" s="67"/>
      <c r="K17" s="71"/>
      <c r="L17" s="62"/>
    </row>
    <row r="18" spans="1:12" s="9" customFormat="1" ht="12.75">
      <c r="A18" s="26" t="s">
        <v>13</v>
      </c>
      <c r="B18" s="33" t="s">
        <v>48</v>
      </c>
      <c r="C18" s="33" t="s">
        <v>46</v>
      </c>
      <c r="D18" s="33" t="s">
        <v>43</v>
      </c>
      <c r="E18" s="33" t="s">
        <v>40</v>
      </c>
      <c r="F18" s="33" t="s">
        <v>50</v>
      </c>
      <c r="G18" s="42">
        <v>249629</v>
      </c>
      <c r="H18" s="67"/>
      <c r="I18" s="68">
        <f>G18</f>
        <v>249629</v>
      </c>
      <c r="J18" s="67"/>
      <c r="K18" s="71"/>
      <c r="L18" s="62"/>
    </row>
    <row r="19" spans="1:12" s="9" customFormat="1" ht="12.75">
      <c r="A19" s="25" t="s">
        <v>14</v>
      </c>
      <c r="B19" s="32">
        <v>38048</v>
      </c>
      <c r="C19" s="32">
        <v>52976</v>
      </c>
      <c r="D19" s="32">
        <v>45011</v>
      </c>
      <c r="E19" s="21">
        <v>47311</v>
      </c>
      <c r="F19" s="32">
        <v>55167</v>
      </c>
      <c r="G19" s="42">
        <v>58035</v>
      </c>
      <c r="H19" s="67"/>
      <c r="I19" s="68">
        <f>G19</f>
        <v>58035</v>
      </c>
      <c r="J19" s="67"/>
      <c r="K19" s="71"/>
      <c r="L19" s="62"/>
    </row>
    <row r="20" spans="1:12" s="9" customFormat="1" ht="12.75">
      <c r="A20" s="27" t="s">
        <v>8</v>
      </c>
      <c r="B20" s="11">
        <f>B19+B18+B17+B16+B15+B14</f>
        <v>2303971</v>
      </c>
      <c r="C20" s="11">
        <f>C19+C18+C17+C16+C15+C14</f>
        <v>2440433</v>
      </c>
      <c r="D20" s="11">
        <f>D19+D18+D17+D16+D15+D14</f>
        <v>2589365</v>
      </c>
      <c r="E20" s="11">
        <f>E19+E18+E17+E16+E15+E14</f>
        <v>2827714</v>
      </c>
      <c r="F20" s="11">
        <f>F19+F18+F17+F16+F15+F14</f>
        <v>3187072</v>
      </c>
      <c r="G20" s="4">
        <v>3482090</v>
      </c>
      <c r="H20" s="67"/>
      <c r="I20" s="67"/>
      <c r="J20" s="67"/>
      <c r="K20" s="71"/>
      <c r="L20" s="62"/>
    </row>
    <row r="21" spans="1:12" s="9" customFormat="1" ht="12.75">
      <c r="A21" s="21"/>
      <c r="B21" s="21"/>
      <c r="C21" s="21"/>
      <c r="D21" s="21"/>
      <c r="E21" s="21"/>
      <c r="F21" s="21"/>
      <c r="G21" s="6"/>
      <c r="H21" s="67"/>
      <c r="I21" s="67"/>
      <c r="J21" s="67"/>
      <c r="K21" s="71"/>
      <c r="L21" s="62"/>
    </row>
    <row r="22" spans="1:18" ht="12.75">
      <c r="A22" s="12" t="s">
        <v>16</v>
      </c>
      <c r="B22" s="12"/>
      <c r="C22" s="12"/>
      <c r="D22" s="12"/>
      <c r="E22" s="38"/>
      <c r="F22" s="12"/>
      <c r="G22" s="4"/>
      <c r="H22" s="60"/>
      <c r="I22" s="60"/>
      <c r="J22" s="60"/>
      <c r="K22" s="69"/>
      <c r="L22" s="43"/>
      <c r="M22" s="4"/>
      <c r="N22" s="4"/>
      <c r="O22" s="4"/>
      <c r="P22" s="4"/>
      <c r="Q22" s="4"/>
      <c r="R22" s="4"/>
    </row>
    <row r="23" spans="1:18" ht="12.75">
      <c r="A23" s="10" t="s">
        <v>24</v>
      </c>
      <c r="B23" s="10">
        <v>11506</v>
      </c>
      <c r="C23" s="10">
        <v>13037</v>
      </c>
      <c r="D23" s="10">
        <v>13929</v>
      </c>
      <c r="E23" s="10">
        <v>14496</v>
      </c>
      <c r="F23" s="10">
        <v>14571</v>
      </c>
      <c r="G23" s="43">
        <v>17563</v>
      </c>
      <c r="H23" s="67"/>
      <c r="I23" s="68">
        <f>G23</f>
        <v>17563</v>
      </c>
      <c r="J23" s="67"/>
      <c r="K23" s="69"/>
      <c r="L23" s="43"/>
      <c r="M23" s="4"/>
      <c r="N23" s="4"/>
      <c r="O23" s="4"/>
      <c r="P23" s="4"/>
      <c r="Q23" s="4"/>
      <c r="R23" s="4"/>
    </row>
    <row r="24" spans="1:18" ht="12.75">
      <c r="A24" s="10" t="s">
        <v>41</v>
      </c>
      <c r="B24" s="10">
        <v>13849</v>
      </c>
      <c r="C24" s="10">
        <v>16228</v>
      </c>
      <c r="D24" s="10">
        <v>15046</v>
      </c>
      <c r="E24" s="10">
        <v>20369</v>
      </c>
      <c r="F24" s="10">
        <v>22838</v>
      </c>
      <c r="G24" s="43"/>
      <c r="H24" s="60">
        <v>0</v>
      </c>
      <c r="I24" s="60"/>
      <c r="J24" s="60"/>
      <c r="K24" s="69">
        <f>G24</f>
        <v>0</v>
      </c>
      <c r="L24" s="43"/>
      <c r="M24" s="4"/>
      <c r="N24" s="4"/>
      <c r="O24" s="4"/>
      <c r="P24" s="4"/>
      <c r="Q24" s="4"/>
      <c r="R24" s="4"/>
    </row>
    <row r="25" spans="1:18" ht="12.75">
      <c r="A25" s="10" t="s">
        <v>25</v>
      </c>
      <c r="B25" s="10"/>
      <c r="D25" s="10"/>
      <c r="E25" s="10"/>
      <c r="F25" s="10"/>
      <c r="G25" s="43">
        <v>18962</v>
      </c>
      <c r="H25" s="60">
        <f>G25</f>
        <v>18962</v>
      </c>
      <c r="I25" s="60"/>
      <c r="J25" s="60"/>
      <c r="K25" s="69">
        <f>G25</f>
        <v>18962</v>
      </c>
      <c r="L25" s="43"/>
      <c r="M25" s="4"/>
      <c r="N25" s="4"/>
      <c r="O25" s="4"/>
      <c r="P25" s="4"/>
      <c r="Q25" s="4"/>
      <c r="R25" s="4"/>
    </row>
    <row r="26" spans="1:18" ht="22.5">
      <c r="A26" s="10" t="s">
        <v>19</v>
      </c>
      <c r="B26" s="10">
        <v>137098</v>
      </c>
      <c r="C26" s="10">
        <v>106075</v>
      </c>
      <c r="D26" s="10">
        <v>120461</v>
      </c>
      <c r="E26" s="10">
        <v>140736</v>
      </c>
      <c r="F26" s="10">
        <v>146028</v>
      </c>
      <c r="G26" s="43">
        <v>235377</v>
      </c>
      <c r="H26" s="60">
        <f>G26</f>
        <v>235377</v>
      </c>
      <c r="I26" s="60"/>
      <c r="J26" s="60"/>
      <c r="K26" s="69"/>
      <c r="L26" s="43">
        <f>G26</f>
        <v>235377</v>
      </c>
      <c r="M26" s="4"/>
      <c r="N26" s="4"/>
      <c r="O26" s="4"/>
      <c r="P26" s="4"/>
      <c r="Q26" s="4"/>
      <c r="R26" s="4"/>
    </row>
    <row r="27" spans="1:18" ht="12.75">
      <c r="A27" s="10" t="s">
        <v>20</v>
      </c>
      <c r="B27" s="10">
        <v>69743</v>
      </c>
      <c r="C27" s="10">
        <v>80110</v>
      </c>
      <c r="D27" s="10">
        <v>90557</v>
      </c>
      <c r="E27" s="10">
        <v>96414</v>
      </c>
      <c r="F27" s="10">
        <v>106779</v>
      </c>
      <c r="G27" s="43">
        <v>137219</v>
      </c>
      <c r="H27" s="67"/>
      <c r="I27" s="68">
        <f>G27</f>
        <v>137219</v>
      </c>
      <c r="J27" s="67"/>
      <c r="K27" s="69"/>
      <c r="L27" s="43"/>
      <c r="M27" s="4"/>
      <c r="N27" s="4"/>
      <c r="O27" s="4"/>
      <c r="P27" s="4"/>
      <c r="Q27" s="4"/>
      <c r="R27" s="4"/>
    </row>
    <row r="28" spans="1:18" ht="12.75">
      <c r="A28" s="10" t="s">
        <v>21</v>
      </c>
      <c r="B28" s="10">
        <v>56211</v>
      </c>
      <c r="C28" s="10">
        <v>56649</v>
      </c>
      <c r="D28" s="10">
        <v>40972</v>
      </c>
      <c r="E28" s="10">
        <v>45720</v>
      </c>
      <c r="F28" s="10">
        <v>45867</v>
      </c>
      <c r="G28" s="43">
        <v>83135</v>
      </c>
      <c r="H28" s="67"/>
      <c r="I28" s="68">
        <f>G28</f>
        <v>83135</v>
      </c>
      <c r="J28" s="67"/>
      <c r="K28" s="69"/>
      <c r="L28" s="43"/>
      <c r="M28" s="4"/>
      <c r="N28" s="4"/>
      <c r="O28" s="4"/>
      <c r="P28" s="4"/>
      <c r="Q28" s="4"/>
      <c r="R28" s="4"/>
    </row>
    <row r="29" spans="1:18" ht="12.75">
      <c r="A29" s="10" t="s">
        <v>22</v>
      </c>
      <c r="B29" s="10">
        <v>11904</v>
      </c>
      <c r="C29" s="10">
        <v>15473</v>
      </c>
      <c r="D29" s="10">
        <v>23547</v>
      </c>
      <c r="E29" s="10">
        <v>23583</v>
      </c>
      <c r="F29" s="10">
        <v>24410</v>
      </c>
      <c r="G29" s="43">
        <v>56343</v>
      </c>
      <c r="H29" s="67"/>
      <c r="I29" s="68">
        <f>G29</f>
        <v>56343</v>
      </c>
      <c r="J29" s="67"/>
      <c r="K29" s="69"/>
      <c r="L29" s="43"/>
      <c r="M29" s="4"/>
      <c r="N29" s="4"/>
      <c r="O29" s="4"/>
      <c r="P29" s="4"/>
      <c r="Q29" s="4"/>
      <c r="R29" s="4"/>
    </row>
    <row r="30" spans="1:18" ht="12.75">
      <c r="A30" s="10" t="s">
        <v>23</v>
      </c>
      <c r="B30" s="10">
        <v>192498</v>
      </c>
      <c r="C30" s="10">
        <v>193764</v>
      </c>
      <c r="D30" s="10">
        <v>202291</v>
      </c>
      <c r="E30" s="10">
        <v>190651</v>
      </c>
      <c r="F30" s="10">
        <v>204535</v>
      </c>
      <c r="G30" s="43">
        <v>223593</v>
      </c>
      <c r="H30" s="67"/>
      <c r="I30" s="68">
        <f>G30</f>
        <v>223593</v>
      </c>
      <c r="J30" s="67"/>
      <c r="K30" s="69"/>
      <c r="L30" s="43"/>
      <c r="M30" s="4"/>
      <c r="N30" s="4"/>
      <c r="O30" s="4"/>
      <c r="P30" s="4"/>
      <c r="Q30" s="4"/>
      <c r="R30" s="4"/>
    </row>
    <row r="31" spans="1:18" ht="12.75">
      <c r="A31" s="11" t="s">
        <v>8</v>
      </c>
      <c r="B31" s="11">
        <f>SUM(B23:B30)</f>
        <v>492809</v>
      </c>
      <c r="C31" s="11">
        <f>SUM(C23:C30)</f>
        <v>481336</v>
      </c>
      <c r="D31" s="11">
        <f>SUM(D23:D30)</f>
        <v>506803</v>
      </c>
      <c r="E31" s="11">
        <f>SUM(E23:E30)</f>
        <v>531969</v>
      </c>
      <c r="F31" s="11">
        <f>SUM(F23:F30)</f>
        <v>565028</v>
      </c>
      <c r="G31" s="4">
        <v>772192</v>
      </c>
      <c r="H31" s="60"/>
      <c r="I31" s="60"/>
      <c r="J31" s="60"/>
      <c r="K31" s="69"/>
      <c r="L31" s="43"/>
      <c r="M31" s="4"/>
      <c r="N31" s="4"/>
      <c r="O31" s="4"/>
      <c r="P31" s="4"/>
      <c r="Q31" s="4"/>
      <c r="R31" s="4"/>
    </row>
    <row r="32" spans="1:18" ht="12.75">
      <c r="A32" s="12"/>
      <c r="B32" s="12"/>
      <c r="C32" s="12"/>
      <c r="D32" s="12"/>
      <c r="E32" s="38"/>
      <c r="F32" s="12"/>
      <c r="G32" s="4"/>
      <c r="H32" s="60"/>
      <c r="I32" s="60"/>
      <c r="J32" s="60"/>
      <c r="K32" s="69"/>
      <c r="L32" s="43"/>
      <c r="M32" s="4"/>
      <c r="N32" s="4"/>
      <c r="O32" s="4"/>
      <c r="P32" s="4"/>
      <c r="Q32" s="4"/>
      <c r="R32" s="4"/>
    </row>
    <row r="33" spans="1:18" ht="12.75">
      <c r="A33" s="13" t="s">
        <v>15</v>
      </c>
      <c r="B33" s="30"/>
      <c r="C33" s="30"/>
      <c r="D33" s="30"/>
      <c r="E33" s="39"/>
      <c r="F33" s="30"/>
      <c r="G33" s="4"/>
      <c r="H33" s="60"/>
      <c r="I33" s="60"/>
      <c r="J33" s="60"/>
      <c r="K33" s="69"/>
      <c r="L33" s="43"/>
      <c r="M33" s="4"/>
      <c r="N33" s="4"/>
      <c r="O33" s="4"/>
      <c r="P33" s="4"/>
      <c r="Q33" s="4"/>
      <c r="R33" s="4"/>
    </row>
    <row r="34" spans="1:18" ht="12.75">
      <c r="A34" s="10" t="s">
        <v>17</v>
      </c>
      <c r="B34" s="10">
        <v>466026</v>
      </c>
      <c r="C34" s="10">
        <v>504433</v>
      </c>
      <c r="D34" s="10">
        <v>580690</v>
      </c>
      <c r="E34" s="10">
        <v>667816</v>
      </c>
      <c r="F34" s="10">
        <v>680088</v>
      </c>
      <c r="G34" s="43">
        <v>692203</v>
      </c>
      <c r="H34" s="60">
        <f>G34</f>
        <v>692203</v>
      </c>
      <c r="I34" s="60"/>
      <c r="J34" s="60"/>
      <c r="K34" s="69">
        <f>G34</f>
        <v>692203</v>
      </c>
      <c r="L34" s="43"/>
      <c r="M34" s="4"/>
      <c r="N34" s="4"/>
      <c r="O34" s="4"/>
      <c r="P34" s="4"/>
      <c r="Q34" s="4"/>
      <c r="R34" s="4"/>
    </row>
    <row r="35" spans="1:18" ht="12.75">
      <c r="A35" s="10" t="s">
        <v>18</v>
      </c>
      <c r="B35" s="10">
        <v>356287</v>
      </c>
      <c r="C35" s="10">
        <v>400844</v>
      </c>
      <c r="D35" s="10">
        <v>461571</v>
      </c>
      <c r="E35" s="10">
        <v>503631</v>
      </c>
      <c r="F35" s="10">
        <v>542293</v>
      </c>
      <c r="G35" s="43">
        <v>576172</v>
      </c>
      <c r="H35" s="67"/>
      <c r="I35" s="68">
        <f>G35</f>
        <v>576172</v>
      </c>
      <c r="J35" s="67"/>
      <c r="K35" s="69"/>
      <c r="L35" s="43"/>
      <c r="M35" s="4"/>
      <c r="N35" s="4"/>
      <c r="O35" s="4"/>
      <c r="P35" s="4"/>
      <c r="Q35" s="4"/>
      <c r="R35" s="4"/>
    </row>
    <row r="36" spans="1:18" ht="22.5">
      <c r="A36" s="10" t="s">
        <v>19</v>
      </c>
      <c r="B36" s="10">
        <v>247558</v>
      </c>
      <c r="C36" s="10">
        <v>260213</v>
      </c>
      <c r="D36" s="10">
        <v>289604</v>
      </c>
      <c r="E36" s="10">
        <v>318364</v>
      </c>
      <c r="F36" s="10">
        <v>350408</v>
      </c>
      <c r="G36" s="43">
        <v>403368</v>
      </c>
      <c r="H36" s="60">
        <f>G36</f>
        <v>403368</v>
      </c>
      <c r="I36" s="60"/>
      <c r="J36" s="60"/>
      <c r="K36" s="69">
        <f>G36</f>
        <v>403368</v>
      </c>
      <c r="L36" s="43"/>
      <c r="M36" s="4"/>
      <c r="N36" s="4"/>
      <c r="O36" s="4"/>
      <c r="P36" s="4"/>
      <c r="Q36" s="4"/>
      <c r="R36" s="4"/>
    </row>
    <row r="37" spans="1:18" ht="12.75">
      <c r="A37" s="10" t="s">
        <v>20</v>
      </c>
      <c r="B37" s="10">
        <v>182909</v>
      </c>
      <c r="C37" s="10">
        <v>200821</v>
      </c>
      <c r="D37" s="10">
        <v>215201</v>
      </c>
      <c r="E37" s="10">
        <v>209306</v>
      </c>
      <c r="F37" s="10">
        <v>214328</v>
      </c>
      <c r="G37" s="43">
        <v>204071</v>
      </c>
      <c r="H37" s="67"/>
      <c r="I37" s="68">
        <f>G37</f>
        <v>204071</v>
      </c>
      <c r="J37" s="67"/>
      <c r="K37" s="69"/>
      <c r="L37" s="43"/>
      <c r="M37" s="4"/>
      <c r="N37" s="4"/>
      <c r="O37" s="4"/>
      <c r="P37" s="4"/>
      <c r="Q37" s="4"/>
      <c r="R37" s="4"/>
    </row>
    <row r="38" spans="1:18" ht="12.75">
      <c r="A38" s="10" t="s">
        <v>21</v>
      </c>
      <c r="B38" s="10">
        <v>147714</v>
      </c>
      <c r="C38" s="10">
        <v>134022</v>
      </c>
      <c r="D38" s="10">
        <v>137846</v>
      </c>
      <c r="E38" s="10">
        <v>154510</v>
      </c>
      <c r="F38" s="10">
        <v>172779</v>
      </c>
      <c r="G38" s="43">
        <v>172345</v>
      </c>
      <c r="H38" s="67"/>
      <c r="I38" s="68">
        <f>G38</f>
        <v>172345</v>
      </c>
      <c r="J38" s="67"/>
      <c r="K38" s="69"/>
      <c r="L38" s="43"/>
      <c r="M38" s="4"/>
      <c r="N38" s="4"/>
      <c r="O38" s="4"/>
      <c r="P38" s="4"/>
      <c r="Q38" s="4"/>
      <c r="R38" s="4"/>
    </row>
    <row r="39" spans="1:18" ht="12.75">
      <c r="A39" s="10" t="s">
        <v>22</v>
      </c>
      <c r="B39" s="10">
        <v>78935</v>
      </c>
      <c r="C39" s="10">
        <v>82397</v>
      </c>
      <c r="D39" s="10">
        <v>96480</v>
      </c>
      <c r="E39" s="10">
        <v>100175</v>
      </c>
      <c r="F39" s="10">
        <v>108135</v>
      </c>
      <c r="G39" s="43">
        <v>124371</v>
      </c>
      <c r="H39" s="67"/>
      <c r="I39" s="68">
        <f>G39</f>
        <v>124371</v>
      </c>
      <c r="J39" s="67"/>
      <c r="K39" s="69"/>
      <c r="L39" s="43"/>
      <c r="M39" s="4"/>
      <c r="N39" s="4"/>
      <c r="O39" s="4"/>
      <c r="P39" s="4"/>
      <c r="Q39" s="4"/>
      <c r="R39" s="4"/>
    </row>
    <row r="40" spans="1:18" ht="12.75">
      <c r="A40" s="10" t="s">
        <v>23</v>
      </c>
      <c r="B40" s="10">
        <v>25338</v>
      </c>
      <c r="C40" s="10">
        <v>31027</v>
      </c>
      <c r="D40" s="10">
        <v>30992</v>
      </c>
      <c r="E40" s="10">
        <v>32716</v>
      </c>
      <c r="F40" s="10">
        <v>41738</v>
      </c>
      <c r="G40" s="43">
        <v>38963</v>
      </c>
      <c r="H40" s="67"/>
      <c r="I40" s="68">
        <f>G40</f>
        <v>38963</v>
      </c>
      <c r="J40" s="67"/>
      <c r="K40" s="69"/>
      <c r="L40" s="43"/>
      <c r="M40" s="4"/>
      <c r="N40" s="4"/>
      <c r="O40" s="4"/>
      <c r="P40" s="4"/>
      <c r="Q40" s="4"/>
      <c r="R40" s="4"/>
    </row>
    <row r="41" spans="1:18" ht="12.75">
      <c r="A41" s="11" t="s">
        <v>8</v>
      </c>
      <c r="B41" s="11">
        <f>SUM(B34:B40)</f>
        <v>1504767</v>
      </c>
      <c r="C41" s="11">
        <f>SUM(C34:C40)</f>
        <v>1613757</v>
      </c>
      <c r="D41" s="11">
        <f>SUM(D34:D40)</f>
        <v>1812384</v>
      </c>
      <c r="E41" s="11">
        <f>SUM(E34:E40)</f>
        <v>1986518</v>
      </c>
      <c r="F41" s="11">
        <f>SUM(F34:F40)</f>
        <v>2109769</v>
      </c>
      <c r="G41" s="4">
        <v>2211493</v>
      </c>
      <c r="H41" s="60"/>
      <c r="I41" s="60"/>
      <c r="J41" s="60"/>
      <c r="K41" s="69"/>
      <c r="L41" s="43"/>
      <c r="M41" s="4"/>
      <c r="N41" s="4"/>
      <c r="O41" s="4"/>
      <c r="P41" s="4"/>
      <c r="Q41" s="4"/>
      <c r="R41" s="4"/>
    </row>
    <row r="42" spans="1:6" ht="12.75">
      <c r="A42" s="9"/>
      <c r="B42" s="9"/>
      <c r="C42" s="9"/>
      <c r="D42" s="9"/>
      <c r="E42" s="40"/>
      <c r="F42" s="9"/>
    </row>
    <row r="43" spans="1:11" ht="12.75">
      <c r="A43" s="8" t="s">
        <v>26</v>
      </c>
      <c r="B43" s="8"/>
      <c r="C43" s="8"/>
      <c r="D43" s="8"/>
      <c r="E43" s="34"/>
      <c r="F43" s="8"/>
      <c r="G43" s="9"/>
      <c r="K43" s="69"/>
    </row>
    <row r="44" spans="1:10" ht="12.75">
      <c r="A44" s="10" t="s">
        <v>28</v>
      </c>
      <c r="B44" s="10">
        <v>704548</v>
      </c>
      <c r="C44" s="10">
        <v>744203</v>
      </c>
      <c r="D44" s="10">
        <v>771461</v>
      </c>
      <c r="E44" s="10">
        <v>810953</v>
      </c>
      <c r="F44" s="10">
        <v>833249</v>
      </c>
      <c r="G44" s="7">
        <v>881778</v>
      </c>
      <c r="H44" s="67"/>
      <c r="I44" s="68">
        <f>G44</f>
        <v>881778</v>
      </c>
      <c r="J44" s="67"/>
    </row>
    <row r="45" spans="1:12" ht="12.75">
      <c r="A45" s="10" t="s">
        <v>29</v>
      </c>
      <c r="B45" s="10">
        <v>252</v>
      </c>
      <c r="C45" s="10">
        <v>797</v>
      </c>
      <c r="D45" s="10">
        <v>10521</v>
      </c>
      <c r="E45" s="10">
        <v>782</v>
      </c>
      <c r="F45" s="10">
        <v>1240</v>
      </c>
      <c r="G45" s="7">
        <v>1197</v>
      </c>
      <c r="H45" s="60">
        <f>G45</f>
        <v>1197</v>
      </c>
      <c r="I45" s="60"/>
      <c r="J45" s="60"/>
      <c r="L45" s="56">
        <f>H45</f>
        <v>1197</v>
      </c>
    </row>
    <row r="46" spans="1:12" ht="12.75">
      <c r="A46" s="10" t="s">
        <v>30</v>
      </c>
      <c r="B46" s="10">
        <v>183185</v>
      </c>
      <c r="C46" s="10">
        <v>190376</v>
      </c>
      <c r="D46" s="10">
        <v>175523</v>
      </c>
      <c r="E46" s="10">
        <v>205002</v>
      </c>
      <c r="F46" s="10">
        <v>223240</v>
      </c>
      <c r="G46" s="7">
        <v>239356</v>
      </c>
      <c r="H46" s="60">
        <f>G46</f>
        <v>239356</v>
      </c>
      <c r="I46" s="60"/>
      <c r="J46" s="60"/>
      <c r="L46" s="56">
        <f>H46</f>
        <v>239356</v>
      </c>
    </row>
    <row r="47" spans="1:10" ht="12.75">
      <c r="A47" s="10" t="s">
        <v>6</v>
      </c>
      <c r="B47" s="10">
        <v>23703</v>
      </c>
      <c r="C47" s="10">
        <v>28536</v>
      </c>
      <c r="D47" s="10">
        <v>37261</v>
      </c>
      <c r="E47" s="10">
        <v>36325</v>
      </c>
      <c r="F47" s="10">
        <v>39216</v>
      </c>
      <c r="G47" s="7">
        <v>53856</v>
      </c>
      <c r="H47" s="67"/>
      <c r="I47" s="68">
        <f>G47</f>
        <v>53856</v>
      </c>
      <c r="J47" s="67"/>
    </row>
    <row r="48" spans="1:10" ht="12.75">
      <c r="A48" s="10" t="s">
        <v>31</v>
      </c>
      <c r="B48" s="10">
        <v>6398</v>
      </c>
      <c r="C48" s="10">
        <v>6912</v>
      </c>
      <c r="D48" s="10">
        <v>7413</v>
      </c>
      <c r="E48" s="10">
        <v>8302</v>
      </c>
      <c r="F48" s="10">
        <v>12766</v>
      </c>
      <c r="G48" s="7">
        <v>16781</v>
      </c>
      <c r="H48" s="67"/>
      <c r="I48" s="68">
        <f>G48</f>
        <v>16781</v>
      </c>
      <c r="J48" s="67"/>
    </row>
    <row r="49" spans="1:10" ht="12.75">
      <c r="A49" s="10" t="s">
        <v>47</v>
      </c>
      <c r="B49" s="10"/>
      <c r="C49" s="10">
        <v>44630</v>
      </c>
      <c r="D49" s="10"/>
      <c r="E49" s="10"/>
      <c r="F49" s="10"/>
      <c r="G49" s="7"/>
      <c r="H49" s="67"/>
      <c r="I49" s="68">
        <f>G49</f>
        <v>0</v>
      </c>
      <c r="J49" s="67"/>
    </row>
    <row r="50" spans="1:10" ht="12.75">
      <c r="A50" s="10" t="s">
        <v>32</v>
      </c>
      <c r="B50" s="10">
        <v>503259</v>
      </c>
      <c r="C50" s="10">
        <v>537171</v>
      </c>
      <c r="D50" s="10">
        <v>612080</v>
      </c>
      <c r="E50" s="10">
        <v>660321</v>
      </c>
      <c r="F50" s="10">
        <v>727429</v>
      </c>
      <c r="G50" s="7">
        <v>791319</v>
      </c>
      <c r="H50" s="67"/>
      <c r="I50" s="68">
        <f>G50</f>
        <v>791319</v>
      </c>
      <c r="J50" s="67"/>
    </row>
    <row r="51" spans="1:7" ht="12.75">
      <c r="A51" s="11" t="s">
        <v>8</v>
      </c>
      <c r="B51" s="11">
        <f>SUM(B44:B50)</f>
        <v>1421345</v>
      </c>
      <c r="C51" s="11">
        <f>SUM(C44:C50)</f>
        <v>1552625</v>
      </c>
      <c r="D51" s="11">
        <f>SUM(D44:D50)</f>
        <v>1614259</v>
      </c>
      <c r="E51" s="11">
        <f>SUM(E44:E50)</f>
        <v>1721685</v>
      </c>
      <c r="F51" s="11">
        <f>SUM(F44:F50)</f>
        <v>1837140</v>
      </c>
      <c r="G51" s="7">
        <v>1984287</v>
      </c>
    </row>
    <row r="52" spans="1:7" ht="12.75">
      <c r="A52" s="11" t="s">
        <v>27</v>
      </c>
      <c r="B52" s="11"/>
      <c r="C52" s="11"/>
      <c r="D52" s="11"/>
      <c r="E52" s="11"/>
      <c r="F52" s="11"/>
      <c r="G52" s="7"/>
    </row>
    <row r="53" spans="1:10" ht="12.75">
      <c r="A53" s="10" t="s">
        <v>33</v>
      </c>
      <c r="B53" s="10">
        <v>72580</v>
      </c>
      <c r="C53" s="10">
        <v>77595</v>
      </c>
      <c r="D53" s="10">
        <v>89791</v>
      </c>
      <c r="E53" s="10">
        <v>99490</v>
      </c>
      <c r="F53" s="10">
        <v>68803</v>
      </c>
      <c r="G53" s="7">
        <v>66525</v>
      </c>
      <c r="H53" s="67"/>
      <c r="I53" s="68">
        <f>G53</f>
        <v>66525</v>
      </c>
      <c r="J53" s="67"/>
    </row>
    <row r="54" spans="1:10" ht="12.75">
      <c r="A54" s="10" t="s">
        <v>34</v>
      </c>
      <c r="B54" s="10">
        <v>26364</v>
      </c>
      <c r="C54" s="10">
        <v>27988</v>
      </c>
      <c r="D54" s="10">
        <v>29151</v>
      </c>
      <c r="E54" s="10">
        <v>24443</v>
      </c>
      <c r="F54" s="10">
        <v>20508</v>
      </c>
      <c r="G54" s="7">
        <v>19110</v>
      </c>
      <c r="H54" s="67"/>
      <c r="I54" s="68">
        <f>G54</f>
        <v>19110</v>
      </c>
      <c r="J54" s="67"/>
    </row>
    <row r="55" spans="1:10" ht="12.75">
      <c r="A55" s="10" t="s">
        <v>35</v>
      </c>
      <c r="B55" s="10">
        <v>142877</v>
      </c>
      <c r="C55" s="10">
        <v>143298</v>
      </c>
      <c r="D55" s="10">
        <v>127007</v>
      </c>
      <c r="E55" s="10">
        <v>96403</v>
      </c>
      <c r="F55" s="10">
        <v>103020</v>
      </c>
      <c r="G55" s="7">
        <v>111527</v>
      </c>
      <c r="H55" s="67"/>
      <c r="I55" s="68">
        <f>G55</f>
        <v>111527</v>
      </c>
      <c r="J55" s="67"/>
    </row>
    <row r="56" spans="1:7" ht="12.75">
      <c r="A56" s="11" t="s">
        <v>8</v>
      </c>
      <c r="B56" s="11">
        <f>SUM(B53:B55)</f>
        <v>241821</v>
      </c>
      <c r="C56" s="11">
        <f>SUM(C53:C55)</f>
        <v>248881</v>
      </c>
      <c r="D56" s="11">
        <f>SUM(D53:D55)</f>
        <v>245949</v>
      </c>
      <c r="E56" s="11">
        <f>SUM(E53:E55)</f>
        <v>220336</v>
      </c>
      <c r="F56" s="11">
        <f>SUM(F53:F55)</f>
        <v>192331</v>
      </c>
      <c r="G56" s="7">
        <v>197162</v>
      </c>
    </row>
    <row r="57" spans="1:7" ht="12.75">
      <c r="A57" s="9"/>
      <c r="B57" s="9"/>
      <c r="C57" s="9"/>
      <c r="D57" s="9"/>
      <c r="E57" s="40"/>
      <c r="F57" s="9"/>
      <c r="G57" s="9"/>
    </row>
    <row r="58" spans="2:13" s="77" customFormat="1" ht="12.75">
      <c r="B58" s="78">
        <f aca="true" t="shared" si="0" ref="B58:G58">B10+B20+B31+B41+B51+B56</f>
        <v>9914965</v>
      </c>
      <c r="C58" s="78">
        <f t="shared" si="0"/>
        <v>10464649</v>
      </c>
      <c r="D58" s="78">
        <f t="shared" si="0"/>
        <v>11068645</v>
      </c>
      <c r="E58" s="78">
        <f t="shared" si="0"/>
        <v>11839076</v>
      </c>
      <c r="F58" s="78">
        <f t="shared" si="0"/>
        <v>12728918</v>
      </c>
      <c r="G58" s="78">
        <f t="shared" si="0"/>
        <v>13890631</v>
      </c>
      <c r="H58" s="79">
        <f>SUM(H3:H57)</f>
        <v>6833870</v>
      </c>
      <c r="I58" s="79">
        <f>SUM(I3:I57)</f>
        <v>5966811</v>
      </c>
      <c r="J58" s="79">
        <f>SUM(J3:J57)</f>
        <v>1089950</v>
      </c>
      <c r="K58" s="79">
        <f>SUM(K3:K57)</f>
        <v>2265702</v>
      </c>
      <c r="L58" s="79">
        <f>SUM(L3:L57)</f>
        <v>4568168</v>
      </c>
      <c r="M58" s="78"/>
    </row>
    <row r="59" spans="2:12" ht="12.75">
      <c r="B59" s="29"/>
      <c r="C59" s="29"/>
      <c r="D59" s="29"/>
      <c r="E59" s="29"/>
      <c r="F59" s="29"/>
      <c r="G59" s="29"/>
      <c r="H59" s="73"/>
      <c r="I59" s="73"/>
      <c r="J59" s="73"/>
      <c r="K59" s="74"/>
      <c r="L59" s="74"/>
    </row>
    <row r="60" spans="1:7" ht="12.75">
      <c r="A60" s="47" t="s">
        <v>63</v>
      </c>
      <c r="B60" s="49">
        <v>1.1</v>
      </c>
      <c r="C60" s="49">
        <v>3</v>
      </c>
      <c r="D60" s="49">
        <v>2.1</v>
      </c>
      <c r="E60" s="50">
        <v>1.4</v>
      </c>
      <c r="F60" s="49">
        <v>2.9</v>
      </c>
      <c r="G60" s="44">
        <v>3.2</v>
      </c>
    </row>
    <row r="61" spans="1:6" ht="12.75">
      <c r="A61" s="49" t="s">
        <v>62</v>
      </c>
      <c r="B61" s="47">
        <f>1+(B60/100)</f>
        <v>1.011</v>
      </c>
      <c r="C61" s="47">
        <f>1+(C60/100)</f>
        <v>1.03</v>
      </c>
      <c r="D61" s="47">
        <f>1+(D60/100)</f>
        <v>1.021</v>
      </c>
      <c r="E61" s="47">
        <f>1+(E60/100)</f>
        <v>1.014</v>
      </c>
      <c r="F61" s="47">
        <f>1+(F60/100)</f>
        <v>1.029</v>
      </c>
    </row>
    <row r="62" spans="1:12" s="47" customFormat="1" ht="11.25">
      <c r="A62" s="47" t="s">
        <v>61</v>
      </c>
      <c r="B62" s="51">
        <f>B61*C62</f>
        <v>1.1093470993495795</v>
      </c>
      <c r="C62" s="51">
        <f>C61*D62</f>
        <v>1.0972770517799997</v>
      </c>
      <c r="D62" s="51">
        <f>D61*E62</f>
        <v>1.0653175259999996</v>
      </c>
      <c r="E62" s="53">
        <f>E61*F61</f>
        <v>1.0434059999999998</v>
      </c>
      <c r="F62" s="47">
        <f>F61</f>
        <v>1.029</v>
      </c>
      <c r="H62" s="66"/>
      <c r="I62" s="66"/>
      <c r="J62" s="66"/>
      <c r="K62" s="50"/>
      <c r="L62" s="49"/>
    </row>
  </sheetData>
  <mergeCells count="4">
    <mergeCell ref="B5:B7"/>
    <mergeCell ref="E5:E7"/>
    <mergeCell ref="D5:D7"/>
    <mergeCell ref="C5:C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HEFCE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sastrth</dc:creator>
  <cp:keywords/>
  <dc:description/>
  <cp:lastModifiedBy>sastrth</cp:lastModifiedBy>
  <dcterms:created xsi:type="dcterms:W3CDTF">2006-02-01T14:38:46Z</dcterms:created>
  <dcterms:modified xsi:type="dcterms:W3CDTF">2006-05-03T16:36:44Z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