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Baseline FT student numbers" sheetId="1" r:id="rId1"/>
    <sheet name="Baseline PT student FTE" sheetId="2" r:id="rId2"/>
    <sheet name="Population extract" sheetId="3" r:id="rId3"/>
    <sheet name="Projected participation by clas" sheetId="4" r:id="rId4"/>
    <sheet name="Figure 4" sheetId="5" r:id="rId5"/>
    <sheet name="Figure 4 data" sheetId="6" r:id="rId6"/>
    <sheet name="Table 3" sheetId="7" r:id="rId7"/>
    <sheet name="Table 4" sheetId="8" r:id="rId8"/>
    <sheet name="Table 16" sheetId="9" r:id="rId9"/>
    <sheet name="Table 17" sheetId="10" r:id="rId10"/>
    <sheet name="Table 18" sheetId="11" r:id="rId11"/>
    <sheet name="Table 19" sheetId="12" r:id="rId12"/>
  </sheets>
  <definedNames/>
  <calcPr fullCalcOnLoad="1"/>
</workbook>
</file>

<file path=xl/sharedStrings.xml><?xml version="1.0" encoding="utf-8"?>
<sst xmlns="http://schemas.openxmlformats.org/spreadsheetml/2006/main" count="432" uniqueCount="170">
  <si>
    <t>All</t>
  </si>
  <si>
    <t>Not coded</t>
  </si>
  <si>
    <t>Students</t>
  </si>
  <si>
    <t>I</t>
  </si>
  <si>
    <t>II</t>
  </si>
  <si>
    <t>IIIN</t>
  </si>
  <si>
    <t>IIIM</t>
  </si>
  <si>
    <t>IV</t>
  </si>
  <si>
    <t>V</t>
  </si>
  <si>
    <t>Armed forces</t>
  </si>
  <si>
    <t>Inadequately described</t>
  </si>
  <si>
    <t>Participation rates</t>
  </si>
  <si>
    <t>1992(estimated)</t>
  </si>
  <si>
    <t>Age</t>
  </si>
  <si>
    <t>Proportion of entrants</t>
  </si>
  <si>
    <t>Relative numbers of potential young entrants by social class group</t>
  </si>
  <si>
    <t>I to V</t>
  </si>
  <si>
    <t>Potential young entrants by social class group</t>
  </si>
  <si>
    <t>Year of birth</t>
  </si>
  <si>
    <t>Year of entry</t>
  </si>
  <si>
    <t>I, II and IIIN</t>
  </si>
  <si>
    <t>IIM, IV and V</t>
  </si>
  <si>
    <t>Actual values</t>
  </si>
  <si>
    <t>logit( 2019 I,II,IIN) / logit( 2006 I,II,IIN)</t>
  </si>
  <si>
    <t>Annual proportional change in logit</t>
  </si>
  <si>
    <t>Interpolated / extrapolated values</t>
  </si>
  <si>
    <t xml:space="preserve">Relative participation rates estimated from </t>
  </si>
  <si>
    <t>API IIIM, IV, V</t>
  </si>
  <si>
    <t>API  I, II, IIIN</t>
  </si>
  <si>
    <t>Ratio APIs</t>
  </si>
  <si>
    <t>Data sources</t>
  </si>
  <si>
    <t>Livebirths by father's social class</t>
  </si>
  <si>
    <t>Social class coded for a 10% sample</t>
  </si>
  <si>
    <t xml:space="preserve">Social class is not known for sole registered births. </t>
  </si>
  <si>
    <t>Participation rate</t>
  </si>
  <si>
    <t>1992 figures not coded.</t>
  </si>
  <si>
    <t>I, II and IIIN population % at HE entry compared to at birth</t>
  </si>
  <si>
    <t>Provided by Fertility Analysis Unit ONS.</t>
  </si>
  <si>
    <t>Socio-Economic Class:</t>
  </si>
  <si>
    <t>A New Widening Participation Measure</t>
  </si>
  <si>
    <t>Kathryn Kelly and Stephen Cook</t>
  </si>
  <si>
    <t>"Full-time Young Participation by</t>
  </si>
  <si>
    <t>in Higher Education"</t>
  </si>
  <si>
    <t xml:space="preserve">Figures presented at figure 6. </t>
  </si>
  <si>
    <t>DfES Research Report 806</t>
  </si>
  <si>
    <t xml:space="preserve">Available at: </t>
  </si>
  <si>
    <t>www.dcsf.gov.uk/research/data/uploadfiles/RR806.pdf</t>
  </si>
  <si>
    <t>NB this estimate shows the difference in participation between different social classes</t>
  </si>
  <si>
    <t>to be smaller than previously estimated.</t>
  </si>
  <si>
    <r>
      <t>Livebirths by father's social class</t>
    </r>
    <r>
      <rPr>
        <b/>
        <sz val="10"/>
        <rFont val="Arial"/>
        <family val="2"/>
      </rPr>
      <t xml:space="preserve"> 1986-2001</t>
    </r>
    <r>
      <rPr>
        <b/>
        <sz val="10"/>
        <rFont val="Arial"/>
        <family val="2"/>
      </rPr>
      <t xml:space="preserve"> England and Wales</t>
    </r>
  </si>
  <si>
    <t>(This is from figures used in prepartaion of DfES Research Report 806, see below.)</t>
  </si>
  <si>
    <t>Projected relative increase in overall participation rates (basline 2006)</t>
  </si>
  <si>
    <t>Total student numbers arising from population change in 2010-11</t>
  </si>
  <si>
    <t>Total student numbers arising from population change in 2020-21</t>
  </si>
  <si>
    <t>Male</t>
  </si>
  <si>
    <t>Female</t>
  </si>
  <si>
    <t>21-24</t>
  </si>
  <si>
    <t>25-29</t>
  </si>
  <si>
    <t>Total</t>
  </si>
  <si>
    <t>18-20</t>
  </si>
  <si>
    <t xml:space="preserve">   </t>
  </si>
  <si>
    <t>34</t>
  </si>
  <si>
    <t>30-34</t>
  </si>
  <si>
    <t xml:space="preserve">% increase in overall participation expected with change in social class </t>
  </si>
  <si>
    <t xml:space="preserve">% increase in student numbers resulting from pop change and change in overall participation </t>
  </si>
  <si>
    <t>2010-11</t>
  </si>
  <si>
    <t>2020-21</t>
  </si>
  <si>
    <t>Main assumptions and approximations</t>
  </si>
  <si>
    <t>Interpolated / extrapolated logit(year I,II,IIIN)</t>
  </si>
  <si>
    <t>Estimated student numbers in 2007-08</t>
  </si>
  <si>
    <t>% population change 2007-08 to 2010-11</t>
  </si>
  <si>
    <t>Resulting change in numbers 2007-08 to 2010-11</t>
  </si>
  <si>
    <t>% population change 2007-08 to 2020-21</t>
  </si>
  <si>
    <t>Resulting change in numbers 2007-08 to 2020-21</t>
  </si>
  <si>
    <t>% population change 2007-08 to 2028-29</t>
  </si>
  <si>
    <t>Resulting change in numbers 2007-08 to 2028-29</t>
  </si>
  <si>
    <t>Base projection</t>
  </si>
  <si>
    <t>2007-08</t>
  </si>
  <si>
    <t xml:space="preserve">  </t>
  </si>
  <si>
    <t>1) Participation rates for social class at birth groupings remain constant.</t>
  </si>
  <si>
    <t>This probably means that the relative participation rates by social class at birth used in these projections</t>
  </si>
  <si>
    <t>The proportion of higher social class groupings at HEI entry is higher than at birth, about 1.5 times higher.</t>
  </si>
  <si>
    <t>is lower than is the case, which in turn means that the estimated rise in overall participation is likely</t>
  </si>
  <si>
    <t>to be pessimistic.</t>
  </si>
  <si>
    <t>3) Age populations alligned to school years are similar to populations by callendar year.</t>
  </si>
  <si>
    <t xml:space="preserve">4) Social class breakdowns for England and Wales can be applied to England. </t>
  </si>
  <si>
    <t>5) GB participation rates (API) can be applied to England.</t>
  </si>
  <si>
    <t>6) Changes in social class at birth composition can be extrapolated from 2001 to 2011.</t>
  </si>
  <si>
    <t xml:space="preserve">2) The relative participation rates between social class groupings at birth are as found for API estimate </t>
  </si>
  <si>
    <t>for 2000 of participation by Social Class at application to HE.</t>
  </si>
  <si>
    <t>ESTIMATED POPULATION - ENGLAND</t>
  </si>
  <si>
    <t>Based on mid-2006 population projections</t>
  </si>
  <si>
    <t>thousands</t>
  </si>
  <si>
    <t>January: age at previous 31 August</t>
  </si>
  <si>
    <t>MALES</t>
  </si>
  <si>
    <t>85 &amp; over</t>
  </si>
  <si>
    <t>FEMALES</t>
  </si>
  <si>
    <t>35-39</t>
  </si>
  <si>
    <t>40-49</t>
  </si>
  <si>
    <t>50-59</t>
  </si>
  <si>
    <t>Over 60</t>
  </si>
  <si>
    <t xml:space="preserve"> </t>
  </si>
  <si>
    <t>Summary</t>
  </si>
  <si>
    <t>7)  A change in patyicipation rate in any given year would only impact on the number of entrants.</t>
  </si>
  <si>
    <t>However, given the projected annual increases in participation are similar year on year, as a rough</t>
  </si>
  <si>
    <t>approximation they will be applied to student numbers as a whole.</t>
  </si>
  <si>
    <t>2028-29</t>
  </si>
  <si>
    <t>All home FT UG (2006-07 HESA)</t>
  </si>
  <si>
    <t xml:space="preserve"> (Source: HEFCE recreation of 2006-07 HESES columns 1 and 2, fundable and non-fundable)</t>
  </si>
  <si>
    <t>All home FT UG (2007-08 HESES)</t>
  </si>
  <si>
    <t xml:space="preserve"> (Source: HESES/HEIFES Table 5 All year home students: HEFCE fundable and non-fundable)</t>
  </si>
  <si>
    <t>FT UG English domiciled</t>
  </si>
  <si>
    <t>2006-07 HESA</t>
  </si>
  <si>
    <t>Estimated 2007-08 HESES</t>
  </si>
  <si>
    <t>Number</t>
  </si>
  <si>
    <t xml:space="preserve">18-20 </t>
  </si>
  <si>
    <t xml:space="preserve">21-24 </t>
  </si>
  <si>
    <t xml:space="preserve">25-29 </t>
  </si>
  <si>
    <t xml:space="preserve">30-34 </t>
  </si>
  <si>
    <t xml:space="preserve">35-39 </t>
  </si>
  <si>
    <t xml:space="preserve">40-49 </t>
  </si>
  <si>
    <t xml:space="preserve">50-59 </t>
  </si>
  <si>
    <t xml:space="preserve">&gt;= 60 </t>
  </si>
  <si>
    <t>All males</t>
  </si>
  <si>
    <t>All females</t>
  </si>
  <si>
    <t>Total student numbers arising from population change in 2028-29</t>
  </si>
  <si>
    <t>Data</t>
  </si>
  <si>
    <t>Estimated student numbers in 2007-08 if male participation equal to female</t>
  </si>
  <si>
    <t>All home PT UG (2006-07 HESA)</t>
  </si>
  <si>
    <t>All home PT UG (2007-08 HESES)</t>
  </si>
  <si>
    <t>PT UG English domiciled</t>
  </si>
  <si>
    <t>FTE</t>
  </si>
  <si>
    <t>Estimated student FTE in 2007-08</t>
  </si>
  <si>
    <t>Full-time</t>
  </si>
  <si>
    <t>Part-time</t>
  </si>
  <si>
    <t>Change in FTE  2007-08 to 2020-21</t>
  </si>
  <si>
    <t>Total FTE 2020-21</t>
  </si>
  <si>
    <t>Change in FTE  2007-08 to 2028-29</t>
  </si>
  <si>
    <t>Total FTE 2028-29</t>
  </si>
  <si>
    <t>High variant</t>
  </si>
  <si>
    <t xml:space="preserve">Actual Social class </t>
  </si>
  <si>
    <t>Relative participation</t>
  </si>
  <si>
    <t>Extrapolated Social Class</t>
  </si>
  <si>
    <t>2006-07</t>
  </si>
  <si>
    <t>2008-09</t>
  </si>
  <si>
    <t>2012-13</t>
  </si>
  <si>
    <t>2018-20</t>
  </si>
  <si>
    <t>2022-23</t>
  </si>
  <si>
    <t>2024-25</t>
  </si>
  <si>
    <t>2030-31</t>
  </si>
  <si>
    <t>2014-15</t>
  </si>
  <si>
    <t>2016-17</t>
  </si>
  <si>
    <t>Change in numbers 2007-08 to 2010-11 arising from population change</t>
  </si>
  <si>
    <t>Change in numbers 2007-08 to 2020-21 arising from population change</t>
  </si>
  <si>
    <t>Change in numbers 2007-08 to 2028-29 arising from population change</t>
  </si>
  <si>
    <t>Change in numbers 2007-08 to 2020-21 arising from population and social class mix change</t>
  </si>
  <si>
    <t>Change in numbers 2007-08 to 2028-29 arising from population and social class mix change</t>
  </si>
  <si>
    <t>Assuming males' participation matches that of females</t>
  </si>
  <si>
    <t>Change in FTEs 2007-08 to 2010-11 arising from population change</t>
  </si>
  <si>
    <t>Total student FTEs arising from population change in 2010-11</t>
  </si>
  <si>
    <t>Change in FTEs 2007-08 to 2020-21 arising from population change</t>
  </si>
  <si>
    <t>Total student FTEs arising from population change in 2020-21</t>
  </si>
  <si>
    <t>Change in FTEs 2007-08 to 2028-29 arising from population change</t>
  </si>
  <si>
    <t>Total student FTEs arising from population change in 2028-29</t>
  </si>
  <si>
    <t>Estimated student numbers in 2020-21 if male participation equal to female</t>
  </si>
  <si>
    <t>Estimated student numbers in 2028-29 if male participation equal to female</t>
  </si>
  <si>
    <t>High Variant FT assumes half the number additional numbers in 2020 and 2028 if boys catch up + the number there would have been anyway + 84% of 50% of the L3 dropouts (estimated at 20% of new entrants)</t>
  </si>
  <si>
    <t>Estimate Home Entrants 2007-08 HESES</t>
  </si>
  <si>
    <t>Estimate English Entrants 2007-08 HESES</t>
  </si>
  <si>
    <t>Home Numbers as % of Home Numbers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</si>
</sst>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"/>
    <numFmt numFmtId="172" formatCode="0.000000"/>
    <numFmt numFmtId="173" formatCode="##\ ##0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171" fontId="2" fillId="0" borderId="0" xfId="0" applyNumberFormat="1" applyFont="1" applyAlignment="1">
      <alignment/>
    </xf>
    <xf numFmtId="0" fontId="9" fillId="0" borderId="0" xfId="0" applyFont="1" applyAlignment="1">
      <alignment/>
    </xf>
    <xf numFmtId="164" fontId="0" fillId="0" borderId="0" xfId="61" applyNumberFormat="1" applyFont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wrapText="1"/>
    </xf>
    <xf numFmtId="16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wrapText="1"/>
    </xf>
    <xf numFmtId="164" fontId="10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69" fontId="10" fillId="0" borderId="0" xfId="0" applyNumberFormat="1" applyFont="1" applyAlignment="1">
      <alignment wrapText="1"/>
    </xf>
    <xf numFmtId="169" fontId="10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 wrapText="1"/>
    </xf>
    <xf numFmtId="169" fontId="11" fillId="0" borderId="0" xfId="0" applyNumberFormat="1" applyFont="1" applyAlignment="1">
      <alignment wrapText="1"/>
    </xf>
    <xf numFmtId="1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 wrapText="1"/>
    </xf>
    <xf numFmtId="10" fontId="10" fillId="0" borderId="0" xfId="0" applyNumberFormat="1" applyFont="1" applyBorder="1" applyAlignment="1">
      <alignment horizontal="right"/>
    </xf>
    <xf numFmtId="10" fontId="0" fillId="0" borderId="0" xfId="61" applyNumberFormat="1" applyFon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64" fontId="10" fillId="0" borderId="0" xfId="61" applyNumberFormat="1" applyFont="1" applyAlignment="1">
      <alignment wrapText="1"/>
    </xf>
    <xf numFmtId="171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0" fillId="0" borderId="0" xfId="61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3" fontId="2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Border="1">
      <alignment/>
      <protection/>
    </xf>
    <xf numFmtId="0" fontId="2" fillId="0" borderId="11" xfId="58" applyFont="1" applyBorder="1">
      <alignment/>
      <protection/>
    </xf>
    <xf numFmtId="1" fontId="2" fillId="0" borderId="11" xfId="58" applyNumberFormat="1" applyFont="1" applyFill="1" applyBorder="1" applyProtection="1">
      <alignment/>
      <protection locked="0"/>
    </xf>
    <xf numFmtId="173" fontId="2" fillId="0" borderId="0" xfId="58" applyNumberFormat="1" applyFont="1" applyAlignment="1">
      <alignment horizontal="left"/>
      <protection/>
    </xf>
    <xf numFmtId="169" fontId="0" fillId="0" borderId="0" xfId="58" applyNumberFormat="1" applyFont="1">
      <alignment/>
      <protection/>
    </xf>
    <xf numFmtId="0" fontId="0" fillId="0" borderId="0" xfId="58" applyFont="1" applyAlignment="1">
      <alignment horizontal="right"/>
      <protection/>
    </xf>
    <xf numFmtId="0" fontId="1" fillId="0" borderId="0" xfId="57" applyFont="1" applyFill="1" applyAlignment="1">
      <alignment/>
    </xf>
    <xf numFmtId="0" fontId="1" fillId="0" borderId="0" xfId="57" applyFont="1" applyFill="1" applyAlignment="1" applyProtection="1">
      <alignment/>
      <protection/>
    </xf>
    <xf numFmtId="0" fontId="0" fillId="0" borderId="0" xfId="57" applyFont="1" applyFill="1" applyAlignment="1" applyProtection="1">
      <alignment/>
      <protection/>
    </xf>
    <xf numFmtId="0" fontId="0" fillId="0" borderId="0" xfId="57" applyFont="1" applyFill="1" applyAlignment="1">
      <alignment/>
    </xf>
    <xf numFmtId="169" fontId="0" fillId="0" borderId="0" xfId="57" applyNumberFormat="1" applyFont="1" applyFill="1" applyAlignme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58" applyFont="1">
      <alignment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3" fontId="0" fillId="0" borderId="0" xfId="61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 wrapText="1"/>
    </xf>
    <xf numFmtId="10" fontId="0" fillId="0" borderId="0" xfId="0" applyNumberFormat="1" applyFont="1" applyFill="1" applyAlignment="1">
      <alignment horizontal="right" wrapText="1"/>
    </xf>
    <xf numFmtId="164" fontId="0" fillId="0" borderId="0" xfId="61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3" fontId="0" fillId="0" borderId="0" xfId="61" applyNumberFormat="1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5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2825"/>
          <c:h val="0.88075"/>
        </c:manualLayout>
      </c:layout>
      <c:lineChart>
        <c:grouping val="standard"/>
        <c:varyColors val="0"/>
        <c:ser>
          <c:idx val="0"/>
          <c:order val="0"/>
          <c:tx>
            <c:v>Actual Social Class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 data'!$D$36:$D$60</c:f>
              <c:strCache>
                <c:ptCount val="25"/>
                <c:pt idx="0">
                  <c:v>2006-07</c:v>
                </c:pt>
                <c:pt idx="2">
                  <c:v>2008-09</c:v>
                </c:pt>
                <c:pt idx="4">
                  <c:v>2010-11</c:v>
                </c:pt>
                <c:pt idx="6">
                  <c:v>2012-13</c:v>
                </c:pt>
                <c:pt idx="8">
                  <c:v>2014-15</c:v>
                </c:pt>
                <c:pt idx="10">
                  <c:v>2016-17</c:v>
                </c:pt>
                <c:pt idx="12">
                  <c:v>2018-20</c:v>
                </c:pt>
                <c:pt idx="14">
                  <c:v>2020-21</c:v>
                </c:pt>
                <c:pt idx="16">
                  <c:v>2022-23</c:v>
                </c:pt>
                <c:pt idx="18">
                  <c:v>2024-25</c:v>
                </c:pt>
                <c:pt idx="20">
                  <c:v>2007-08</c:v>
                </c:pt>
                <c:pt idx="22">
                  <c:v>2028-29</c:v>
                </c:pt>
                <c:pt idx="24">
                  <c:v>2030-31</c:v>
                </c:pt>
              </c:strCache>
            </c:strRef>
          </c:cat>
          <c:val>
            <c:numRef>
              <c:f>'Figure 4 data'!$B$36:$B$60</c:f>
              <c:numCache>
                <c:ptCount val="25"/>
                <c:pt idx="0">
                  <c:v>0.9963832301772787</c:v>
                </c:pt>
                <c:pt idx="1">
                  <c:v>1</c:v>
                </c:pt>
                <c:pt idx="2">
                  <c:v>1.0039716862765797</c:v>
                </c:pt>
                <c:pt idx="3">
                  <c:v>1.0069768336694724</c:v>
                </c:pt>
                <c:pt idx="4">
                  <c:v>1.0103029687620115</c:v>
                </c:pt>
                <c:pt idx="5">
                  <c:v>1.0139207295877826</c:v>
                </c:pt>
                <c:pt idx="6">
                  <c:v>1.017805949459912</c:v>
                </c:pt>
                <c:pt idx="7">
                  <c:v>1.0207491983456622</c:v>
                </c:pt>
                <c:pt idx="8">
                  <c:v>1.0235731393272465</c:v>
                </c:pt>
                <c:pt idx="9">
                  <c:v>1.0273522804159576</c:v>
                </c:pt>
                <c:pt idx="10">
                  <c:v>1.0318644742586303</c:v>
                </c:pt>
                <c:pt idx="11">
                  <c:v>1.0394965417000115</c:v>
                </c:pt>
                <c:pt idx="12">
                  <c:v>1.044744205108953</c:v>
                </c:pt>
                <c:pt idx="13">
                  <c:v>1.0495227848418847</c:v>
                </c:pt>
              </c:numCache>
            </c:numRef>
          </c:val>
          <c:smooth val="0"/>
        </c:ser>
        <c:ser>
          <c:idx val="1"/>
          <c:order val="1"/>
          <c:tx>
            <c:v>Projected Social Class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'Figure 4 data'!$D$36:$D$60</c:f>
              <c:strCache>
                <c:ptCount val="25"/>
                <c:pt idx="0">
                  <c:v>2006-07</c:v>
                </c:pt>
                <c:pt idx="2">
                  <c:v>2008-09</c:v>
                </c:pt>
                <c:pt idx="4">
                  <c:v>2010-11</c:v>
                </c:pt>
                <c:pt idx="6">
                  <c:v>2012-13</c:v>
                </c:pt>
                <c:pt idx="8">
                  <c:v>2014-15</c:v>
                </c:pt>
                <c:pt idx="10">
                  <c:v>2016-17</c:v>
                </c:pt>
                <c:pt idx="12">
                  <c:v>2018-20</c:v>
                </c:pt>
                <c:pt idx="14">
                  <c:v>2020-21</c:v>
                </c:pt>
                <c:pt idx="16">
                  <c:v>2022-23</c:v>
                </c:pt>
                <c:pt idx="18">
                  <c:v>2024-25</c:v>
                </c:pt>
                <c:pt idx="20">
                  <c:v>2007-08</c:v>
                </c:pt>
                <c:pt idx="22">
                  <c:v>2028-29</c:v>
                </c:pt>
                <c:pt idx="24">
                  <c:v>2030-31</c:v>
                </c:pt>
              </c:strCache>
            </c:strRef>
          </c:cat>
          <c:val>
            <c:numRef>
              <c:f>'Figure 4 data'!$C$36:$C$60</c:f>
              <c:numCache>
                <c:ptCount val="25"/>
                <c:pt idx="14">
                  <c:v>1.0536645221378558</c:v>
                </c:pt>
                <c:pt idx="15">
                  <c:v>1.0578064982563686</c:v>
                </c:pt>
                <c:pt idx="16">
                  <c:v>1.0619471933529439</c:v>
                </c:pt>
                <c:pt idx="17">
                  <c:v>1.066085089462641</c:v>
                </c:pt>
                <c:pt idx="18">
                  <c:v>1.070218672724217</c:v>
                </c:pt>
                <c:pt idx="19">
                  <c:v>1.0743464355915016</c:v>
                </c:pt>
                <c:pt idx="20">
                  <c:v>1.0784668790251535</c:v>
                </c:pt>
                <c:pt idx="21">
                  <c:v>1.0825785146580411</c:v>
                </c:pt>
                <c:pt idx="22">
                  <c:v>1.0866798669276465</c:v>
                </c:pt>
                <c:pt idx="23">
                  <c:v>1.0907694751690626</c:v>
                </c:pt>
                <c:pt idx="24">
                  <c:v>1.0948458956623575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42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Projected participatipn rate relative to 2007-08 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6"/>
          <c:y val="0.934"/>
          <c:w val="0.449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95950"/>
    <xdr:graphicFrame>
      <xdr:nvGraphicFramePr>
        <xdr:cNvPr id="1" name="Chart 1"/>
        <xdr:cNvGraphicFramePr/>
      </xdr:nvGraphicFramePr>
      <xdr:xfrm>
        <a:off x="0" y="0"/>
        <a:ext cx="8763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csf.gov.uk/research/data/uploadfiles/RR806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8" max="8" width="15.7109375" style="0" customWidth="1"/>
  </cols>
  <sheetData>
    <row r="2" ht="12.75">
      <c r="E2" s="80"/>
    </row>
    <row r="3" spans="1:6" ht="12.75">
      <c r="A3" s="4" t="s">
        <v>107</v>
      </c>
      <c r="B3" s="4"/>
      <c r="C3" s="4"/>
      <c r="E3" s="79">
        <v>847564</v>
      </c>
      <c r="F3" s="53" t="s">
        <v>108</v>
      </c>
    </row>
    <row r="4" spans="1:6" ht="12.75">
      <c r="A4" s="4" t="s">
        <v>109</v>
      </c>
      <c r="B4" s="4"/>
      <c r="C4" s="4"/>
      <c r="E4" s="80">
        <v>891624</v>
      </c>
      <c r="F4" s="53" t="s">
        <v>110</v>
      </c>
    </row>
    <row r="7" spans="3:8" ht="12.75">
      <c r="C7" s="101" t="s">
        <v>111</v>
      </c>
      <c r="D7" s="101"/>
      <c r="E7" s="101"/>
      <c r="F7" s="101"/>
      <c r="G7" s="101"/>
      <c r="H7" s="101"/>
    </row>
    <row r="8" spans="5:13" ht="63.75">
      <c r="E8" s="4" t="s">
        <v>112</v>
      </c>
      <c r="F8" s="4"/>
      <c r="H8" s="77" t="s">
        <v>113</v>
      </c>
      <c r="I8" s="77" t="s">
        <v>169</v>
      </c>
      <c r="L8" s="77" t="s">
        <v>167</v>
      </c>
      <c r="M8" s="77" t="s">
        <v>168</v>
      </c>
    </row>
    <row r="9" spans="5:8" ht="12.75">
      <c r="E9" s="2" t="s">
        <v>114</v>
      </c>
      <c r="F9" s="2"/>
      <c r="G9" s="78"/>
      <c r="H9" s="78" t="s">
        <v>114</v>
      </c>
    </row>
    <row r="10" spans="3:8" ht="12.75">
      <c r="C10" s="102" t="s">
        <v>54</v>
      </c>
      <c r="D10" t="s">
        <v>115</v>
      </c>
      <c r="E10" s="79">
        <v>221522</v>
      </c>
      <c r="F10" s="1"/>
      <c r="H10" s="1">
        <f>+$E$4*E10/$E$3</f>
        <v>233037.66055188753</v>
      </c>
    </row>
    <row r="11" spans="3:8" ht="12.75">
      <c r="C11" s="102"/>
      <c r="D11" t="s">
        <v>116</v>
      </c>
      <c r="E11" s="79">
        <v>96939</v>
      </c>
      <c r="F11" s="1"/>
      <c r="H11" s="1">
        <f aca="true" t="shared" si="0" ref="H11:H25">+$E$4*E11/$E$3</f>
        <v>101978.30362780864</v>
      </c>
    </row>
    <row r="12" spans="3:8" ht="12.75">
      <c r="C12" s="102"/>
      <c r="D12" t="s">
        <v>117</v>
      </c>
      <c r="E12" s="79">
        <v>17677</v>
      </c>
      <c r="F12" s="1"/>
      <c r="H12" s="1">
        <f t="shared" si="0"/>
        <v>18595.926028004964</v>
      </c>
    </row>
    <row r="13" spans="3:8" ht="12.75">
      <c r="C13" s="102"/>
      <c r="D13" t="s">
        <v>118</v>
      </c>
      <c r="E13" s="79">
        <v>8018</v>
      </c>
      <c r="F13" s="1"/>
      <c r="H13" s="1">
        <f t="shared" si="0"/>
        <v>8434.809916419292</v>
      </c>
    </row>
    <row r="14" spans="3:8" ht="12.75">
      <c r="C14" s="102"/>
      <c r="D14" t="s">
        <v>119</v>
      </c>
      <c r="E14" s="79">
        <v>5393</v>
      </c>
      <c r="F14" s="1"/>
      <c r="H14" s="1">
        <f t="shared" si="0"/>
        <v>5673.351194718039</v>
      </c>
    </row>
    <row r="15" spans="3:8" ht="12.75">
      <c r="C15" s="102"/>
      <c r="D15" t="s">
        <v>120</v>
      </c>
      <c r="E15" s="79">
        <v>5464</v>
      </c>
      <c r="F15" s="1"/>
      <c r="H15" s="1">
        <f t="shared" si="0"/>
        <v>5748.04207823834</v>
      </c>
    </row>
    <row r="16" spans="3:8" ht="12.75">
      <c r="C16" s="102"/>
      <c r="D16" t="s">
        <v>121</v>
      </c>
      <c r="E16" s="79">
        <v>1193</v>
      </c>
      <c r="F16" s="1"/>
      <c r="H16" s="1">
        <f t="shared" si="0"/>
        <v>1255.0172399960356</v>
      </c>
    </row>
    <row r="17" spans="3:8" ht="12.75">
      <c r="C17" s="102"/>
      <c r="D17" t="s">
        <v>122</v>
      </c>
      <c r="E17" s="80">
        <v>304</v>
      </c>
      <c r="F17" s="1"/>
      <c r="H17" s="1">
        <f t="shared" si="0"/>
        <v>319.8032195798783</v>
      </c>
    </row>
    <row r="18" spans="3:8" ht="12.75">
      <c r="C18" s="102" t="s">
        <v>55</v>
      </c>
      <c r="D18" t="s">
        <v>115</v>
      </c>
      <c r="E18" s="81">
        <v>272323</v>
      </c>
      <c r="F18" s="1"/>
      <c r="H18" s="1">
        <f t="shared" si="0"/>
        <v>286479.51370280003</v>
      </c>
    </row>
    <row r="19" spans="3:8" ht="12.75">
      <c r="C19" s="102"/>
      <c r="D19" t="s">
        <v>116</v>
      </c>
      <c r="E19" s="81">
        <v>104854</v>
      </c>
      <c r="F19" s="1"/>
      <c r="H19" s="1">
        <f t="shared" si="0"/>
        <v>110304.75916390975</v>
      </c>
    </row>
    <row r="20" spans="3:8" ht="12.75">
      <c r="C20" s="102"/>
      <c r="D20" t="s">
        <v>117</v>
      </c>
      <c r="E20" s="81">
        <v>27353</v>
      </c>
      <c r="F20" s="1"/>
      <c r="H20" s="1">
        <f t="shared" si="0"/>
        <v>28774.925872264514</v>
      </c>
    </row>
    <row r="21" spans="3:8" ht="12.75">
      <c r="C21" s="102"/>
      <c r="D21" t="s">
        <v>118</v>
      </c>
      <c r="E21" s="81">
        <v>16793</v>
      </c>
      <c r="F21" s="1"/>
      <c r="H21" s="1">
        <f t="shared" si="0"/>
        <v>17665.971928963478</v>
      </c>
    </row>
    <row r="22" spans="3:8" ht="12.75">
      <c r="C22" s="102"/>
      <c r="D22" t="s">
        <v>119</v>
      </c>
      <c r="E22" s="81">
        <v>15671</v>
      </c>
      <c r="F22" s="1"/>
      <c r="H22" s="1">
        <f t="shared" si="0"/>
        <v>16485.64557248774</v>
      </c>
    </row>
    <row r="23" spans="3:8" ht="12.75">
      <c r="C23" s="102"/>
      <c r="D23" t="s">
        <v>120</v>
      </c>
      <c r="E23" s="81">
        <v>18175</v>
      </c>
      <c r="F23" s="1"/>
      <c r="H23" s="1">
        <f t="shared" si="0"/>
        <v>19119.814196922</v>
      </c>
    </row>
    <row r="24" spans="3:8" ht="12.75">
      <c r="C24" s="102"/>
      <c r="D24" t="s">
        <v>121</v>
      </c>
      <c r="E24" s="81">
        <v>3005</v>
      </c>
      <c r="F24" s="1"/>
      <c r="H24" s="1">
        <f t="shared" si="0"/>
        <v>3161.2127461761</v>
      </c>
    </row>
    <row r="25" spans="3:8" ht="12.75">
      <c r="C25" s="102"/>
      <c r="D25" t="s">
        <v>122</v>
      </c>
      <c r="E25" s="79">
        <v>393</v>
      </c>
      <c r="F25" s="1"/>
      <c r="H25" s="1">
        <f t="shared" si="0"/>
        <v>413.42982004898744</v>
      </c>
    </row>
    <row r="26" spans="3:8" ht="12.75">
      <c r="C26" s="4" t="s">
        <v>123</v>
      </c>
      <c r="D26" s="4"/>
      <c r="E26" s="90">
        <f>SUM(E10:E17)</f>
        <v>356510</v>
      </c>
      <c r="F26" s="84"/>
      <c r="G26" s="84"/>
      <c r="H26" s="84">
        <f>SUM(H10:H17)</f>
        <v>375042.9138566527</v>
      </c>
    </row>
    <row r="27" spans="3:8" ht="12.75">
      <c r="C27" s="4" t="s">
        <v>124</v>
      </c>
      <c r="D27" s="4"/>
      <c r="E27" s="84">
        <f>SUM(E18:E25)</f>
        <v>458567</v>
      </c>
      <c r="F27" s="84"/>
      <c r="G27" s="84"/>
      <c r="H27" s="84">
        <f>SUM(H18:H25)</f>
        <v>482405.2730035726</v>
      </c>
    </row>
    <row r="28" spans="3:13" ht="12.75">
      <c r="C28" s="4" t="s">
        <v>0</v>
      </c>
      <c r="D28" s="4"/>
      <c r="E28" s="84">
        <f>+E26+E27</f>
        <v>815077</v>
      </c>
      <c r="F28" s="84">
        <f>+E28*0.18</f>
        <v>146713.86</v>
      </c>
      <c r="G28" s="84"/>
      <c r="H28" s="84">
        <f>SUM(H10:H25)</f>
        <v>857448.1868602252</v>
      </c>
      <c r="I28" s="4">
        <f>+H28/E4</f>
        <v>0.9616701511626259</v>
      </c>
      <c r="L28" s="4">
        <v>334833</v>
      </c>
      <c r="M28" s="4">
        <f>+L28*I28</f>
        <v>321998.9017242355</v>
      </c>
    </row>
    <row r="29" ht="12.75">
      <c r="E29" s="1"/>
    </row>
    <row r="50" ht="12.75">
      <c r="E50" s="1"/>
    </row>
    <row r="51" ht="12.75">
      <c r="E51" s="1"/>
    </row>
  </sheetData>
  <sheetProtection/>
  <mergeCells count="3">
    <mergeCell ref="C7:H7"/>
    <mergeCell ref="C10:C17"/>
    <mergeCell ref="C18:C2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3">
      <selection activeCell="Y10" sqref="Y10"/>
    </sheetView>
  </sheetViews>
  <sheetFormatPr defaultColWidth="9.140625" defaultRowHeight="12.75"/>
  <cols>
    <col min="1" max="1" width="11.00390625" style="0" customWidth="1"/>
    <col min="2" max="2" width="4.00390625" style="0" customWidth="1"/>
    <col min="4" max="4" width="4.00390625" style="0" customWidth="1"/>
    <col min="5" max="5" width="11.7109375" style="0" customWidth="1"/>
    <col min="6" max="6" width="4.57421875" style="0" customWidth="1"/>
    <col min="7" max="7" width="0" style="0" hidden="1" customWidth="1"/>
    <col min="8" max="8" width="12.140625" style="0" hidden="1" customWidth="1"/>
    <col min="9" max="9" width="11.140625" style="0" hidden="1" customWidth="1"/>
    <col min="10" max="11" width="11.7109375" style="0" hidden="1" customWidth="1"/>
    <col min="12" max="12" width="4.421875" style="0" hidden="1" customWidth="1"/>
    <col min="13" max="13" width="0" style="0" hidden="1" customWidth="1"/>
    <col min="14" max="14" width="12.00390625" style="0" hidden="1" customWidth="1"/>
    <col min="15" max="15" width="12.140625" style="0" hidden="1" customWidth="1"/>
    <col min="16" max="16" width="10.00390625" style="0" hidden="1" customWidth="1"/>
    <col min="17" max="17" width="12.140625" style="0" customWidth="1"/>
    <col min="18" max="18" width="5.00390625" style="0" customWidth="1"/>
    <col min="19" max="20" width="0" style="0" hidden="1" customWidth="1"/>
    <col min="21" max="21" width="13.8515625" style="0" hidden="1" customWidth="1"/>
    <col min="22" max="22" width="0" style="0" hidden="1" customWidth="1"/>
    <col min="23" max="23" width="12.7109375" style="0" customWidth="1"/>
  </cols>
  <sheetData>
    <row r="1" spans="7:23" ht="18">
      <c r="G1" s="113" t="s">
        <v>65</v>
      </c>
      <c r="H1" s="114"/>
      <c r="I1" s="114"/>
      <c r="J1" s="114"/>
      <c r="K1" s="114"/>
      <c r="M1" s="113" t="s">
        <v>66</v>
      </c>
      <c r="N1" s="113"/>
      <c r="O1" s="113"/>
      <c r="P1" s="113"/>
      <c r="Q1" s="113"/>
      <c r="S1" s="113" t="s">
        <v>106</v>
      </c>
      <c r="T1" s="114"/>
      <c r="U1" s="114"/>
      <c r="V1" s="114"/>
      <c r="W1" s="114"/>
    </row>
    <row r="2" spans="1:23" s="2" customFormat="1" ht="90">
      <c r="A2" s="78"/>
      <c r="B2" s="78"/>
      <c r="C2" s="78"/>
      <c r="D2" s="78"/>
      <c r="E2" s="99" t="s">
        <v>157</v>
      </c>
      <c r="F2" s="78"/>
      <c r="G2" s="98"/>
      <c r="H2" s="78"/>
      <c r="I2" s="78"/>
      <c r="J2" s="99" t="s">
        <v>157</v>
      </c>
      <c r="K2" s="99" t="s">
        <v>157</v>
      </c>
      <c r="L2" s="78"/>
      <c r="M2" s="98"/>
      <c r="N2" s="98"/>
      <c r="O2" s="98"/>
      <c r="P2" s="99" t="s">
        <v>157</v>
      </c>
      <c r="Q2" s="99" t="s">
        <v>157</v>
      </c>
      <c r="R2" s="78"/>
      <c r="S2" s="98"/>
      <c r="T2" s="78"/>
      <c r="U2" s="78"/>
      <c r="V2" s="99" t="s">
        <v>157</v>
      </c>
      <c r="W2" s="99" t="s">
        <v>157</v>
      </c>
    </row>
    <row r="3" spans="1:23" s="2" customFormat="1" ht="127.5">
      <c r="A3" s="97"/>
      <c r="B3" s="96"/>
      <c r="C3" s="97" t="s">
        <v>69</v>
      </c>
      <c r="D3" s="97"/>
      <c r="E3" s="97" t="s">
        <v>127</v>
      </c>
      <c r="F3" s="97"/>
      <c r="G3" s="97" t="s">
        <v>70</v>
      </c>
      <c r="H3" s="97" t="s">
        <v>63</v>
      </c>
      <c r="I3" s="92" t="s">
        <v>64</v>
      </c>
      <c r="J3" s="97" t="s">
        <v>71</v>
      </c>
      <c r="K3" s="97" t="s">
        <v>127</v>
      </c>
      <c r="L3" s="78"/>
      <c r="M3" s="97" t="s">
        <v>72</v>
      </c>
      <c r="N3" s="97" t="s">
        <v>63</v>
      </c>
      <c r="O3" s="92" t="s">
        <v>64</v>
      </c>
      <c r="P3" s="97" t="s">
        <v>73</v>
      </c>
      <c r="Q3" s="97" t="s">
        <v>164</v>
      </c>
      <c r="R3" s="78"/>
      <c r="S3" s="97" t="s">
        <v>74</v>
      </c>
      <c r="T3" s="97" t="s">
        <v>63</v>
      </c>
      <c r="U3" s="92" t="s">
        <v>64</v>
      </c>
      <c r="V3" s="97" t="s">
        <v>75</v>
      </c>
      <c r="W3" s="97" t="s">
        <v>165</v>
      </c>
    </row>
    <row r="4" spans="1:23" ht="12.75">
      <c r="A4" s="103" t="s">
        <v>54</v>
      </c>
      <c r="B4" s="53" t="s">
        <v>115</v>
      </c>
      <c r="C4" s="32">
        <f>+'Baseline FT student numbers'!H10</f>
        <v>233037.66055188753</v>
      </c>
      <c r="D4" s="32"/>
      <c r="E4" s="32">
        <f>+C12*'Population extract'!D8/'Population extract'!D16</f>
        <v>306333.9597107281</v>
      </c>
      <c r="F4" s="32"/>
      <c r="G4" s="33">
        <f>+'Population extract'!E8/'Population extract'!D8-1</f>
        <v>0.013056547059928647</v>
      </c>
      <c r="H4" s="33">
        <f>+'Projected participation by clas'!B65-1</f>
        <v>0.010302968762011533</v>
      </c>
      <c r="I4" s="33">
        <f>(1+G4)*(1+H4)-1</f>
        <v>0.02349403701843844</v>
      </c>
      <c r="J4" s="34">
        <f aca="true" t="shared" si="0" ref="J4:J19">+$E4*I4</f>
        <v>7197.021389448675</v>
      </c>
      <c r="K4" s="34">
        <f aca="true" t="shared" si="1" ref="K4:K19">+J4+$E4</f>
        <v>313530.98110017675</v>
      </c>
      <c r="L4" s="53"/>
      <c r="M4" s="93">
        <f>+'Population extract'!F8/'Population extract'!D8-1</f>
        <v>-0.1290625587074956</v>
      </c>
      <c r="N4" s="93">
        <f>+'Projected participation by clas'!B75-1</f>
        <v>0.053664522137855775</v>
      </c>
      <c r="O4" s="33">
        <f>(1+M4)*(1+N4)-1</f>
        <v>-0.08232411710856657</v>
      </c>
      <c r="P4" s="34">
        <f aca="true" t="shared" si="2" ref="P4:P19">+$E4*O4</f>
        <v>-25218.672773556893</v>
      </c>
      <c r="Q4" s="34">
        <f aca="true" t="shared" si="3" ref="Q4:Q19">+P4+$E4</f>
        <v>281115.2869371712</v>
      </c>
      <c r="R4" s="53"/>
      <c r="S4" s="33">
        <f>+'Population extract'!G8/'Population extract'!D8-1</f>
        <v>0.019631786586511435</v>
      </c>
      <c r="T4" s="50">
        <f>+'Projected participation by clas'!B76-1</f>
        <v>0.08667986692764651</v>
      </c>
      <c r="U4" s="33">
        <f>(1+S4)*(1+T4)-1</f>
        <v>0.10801333416302872</v>
      </c>
      <c r="V4" s="34">
        <f aca="true" t="shared" si="4" ref="V4:V19">+$E4*U4</f>
        <v>33088.15235571865</v>
      </c>
      <c r="W4" s="34">
        <f aca="true" t="shared" si="5" ref="W4:W19">+V4+$E4</f>
        <v>339422.11206644675</v>
      </c>
    </row>
    <row r="5" spans="1:25" ht="12.75">
      <c r="A5" s="103"/>
      <c r="B5" s="53" t="s">
        <v>116</v>
      </c>
      <c r="C5" s="32">
        <f>+'Baseline FT student numbers'!H11</f>
        <v>101978.30362780864</v>
      </c>
      <c r="D5" s="32"/>
      <c r="E5" s="32">
        <f>+C13*'Population extract'!D9/'Population extract'!D17</f>
        <v>114500.96145098601</v>
      </c>
      <c r="F5" s="32"/>
      <c r="G5" s="33">
        <f>+'Population extract'!E9/'Population extract'!D9-1</f>
        <v>0.059561348188634566</v>
      </c>
      <c r="H5" s="33">
        <v>0</v>
      </c>
      <c r="I5" s="33">
        <f aca="true" t="shared" si="6" ref="I5:I19">(1+G5)*(1+H5)-1</f>
        <v>0.059561348188634566</v>
      </c>
      <c r="J5" s="34">
        <f t="shared" si="0"/>
        <v>6819.831632915602</v>
      </c>
      <c r="K5" s="34">
        <f t="shared" si="1"/>
        <v>121320.79308390162</v>
      </c>
      <c r="L5" s="53"/>
      <c r="M5" s="93">
        <f>+'Population extract'!F9/'Population extract'!D9-1</f>
        <v>-0.008829093966785773</v>
      </c>
      <c r="N5" s="93">
        <v>0</v>
      </c>
      <c r="O5" s="33">
        <f aca="true" t="shared" si="7" ref="O5:O19">(1+M5)*(1+N5)-1</f>
        <v>-0.008829093966785773</v>
      </c>
      <c r="P5" s="34">
        <f t="shared" si="2"/>
        <v>-1010.9397479380709</v>
      </c>
      <c r="Q5" s="34">
        <f t="shared" si="3"/>
        <v>113490.02170304794</v>
      </c>
      <c r="R5" s="53"/>
      <c r="S5" s="33">
        <f>+'Population extract'!G9/'Population extract'!D9-1</f>
        <v>0.024385116670170515</v>
      </c>
      <c r="T5" s="50">
        <v>0</v>
      </c>
      <c r="U5" s="33">
        <f aca="true" t="shared" si="8" ref="U5:U19">(1+S5)*(1+T5)-1</f>
        <v>0.024385116670170515</v>
      </c>
      <c r="V5" s="34">
        <f t="shared" si="4"/>
        <v>2792.1193038289903</v>
      </c>
      <c r="W5" s="34">
        <f t="shared" si="5"/>
        <v>117293.080754815</v>
      </c>
      <c r="X5" s="1"/>
      <c r="Y5" s="1"/>
    </row>
    <row r="6" spans="1:26" ht="12.75">
      <c r="A6" s="103"/>
      <c r="B6" s="53" t="s">
        <v>117</v>
      </c>
      <c r="C6" s="32">
        <f>+'Baseline FT student numbers'!H12</f>
        <v>18595.926028004964</v>
      </c>
      <c r="D6" s="32"/>
      <c r="E6" s="32">
        <f>+C14*'Population extract'!D10/'Population extract'!D18</f>
        <v>28873.295888802964</v>
      </c>
      <c r="F6" s="32"/>
      <c r="G6" s="33">
        <f>+'Population extract'!E10/'Population extract'!D10-1</f>
        <v>0.0998002819548871</v>
      </c>
      <c r="H6" s="33">
        <v>0</v>
      </c>
      <c r="I6" s="33">
        <f t="shared" si="6"/>
        <v>0.0998002819548871</v>
      </c>
      <c r="J6" s="34">
        <f t="shared" si="0"/>
        <v>2881.5630706694187</v>
      </c>
      <c r="K6" s="34">
        <f t="shared" si="1"/>
        <v>31754.85895947238</v>
      </c>
      <c r="L6" s="53"/>
      <c r="M6" s="93">
        <f>+'Population extract'!F10/'Population extract'!D10-1</f>
        <v>0.18056860902255645</v>
      </c>
      <c r="N6" s="93">
        <v>0</v>
      </c>
      <c r="O6" s="33">
        <f t="shared" si="7"/>
        <v>0.18056860902255645</v>
      </c>
      <c r="P6" s="34">
        <f t="shared" si="2"/>
        <v>5213.6108765378485</v>
      </c>
      <c r="Q6" s="34">
        <f t="shared" si="3"/>
        <v>34086.90676534081</v>
      </c>
      <c r="R6" s="53"/>
      <c r="S6" s="33">
        <f>+'Population extract'!G10/'Population extract'!D10-1</f>
        <v>0.08176691729323315</v>
      </c>
      <c r="T6" s="50">
        <v>0</v>
      </c>
      <c r="U6" s="33">
        <f t="shared" si="8"/>
        <v>0.08176691729323315</v>
      </c>
      <c r="V6" s="34">
        <f t="shared" si="4"/>
        <v>2360.8803969228006</v>
      </c>
      <c r="W6" s="34">
        <f t="shared" si="5"/>
        <v>31234.176285725764</v>
      </c>
      <c r="Z6" s="16" t="s">
        <v>60</v>
      </c>
    </row>
    <row r="7" spans="1:23" ht="12.75">
      <c r="A7" s="103"/>
      <c r="B7" s="53" t="s">
        <v>118</v>
      </c>
      <c r="C7" s="32">
        <f>+'Baseline FT student numbers'!H13</f>
        <v>8434.809916419292</v>
      </c>
      <c r="D7" s="32"/>
      <c r="E7" s="32">
        <f>+C15*'Population extract'!D11/'Population extract'!D19</f>
        <v>17642.54508252362</v>
      </c>
      <c r="F7" s="32"/>
      <c r="G7" s="33">
        <f>+'Population extract'!E11/'Population extract'!D11-1</f>
        <v>0.006639304683727865</v>
      </c>
      <c r="H7" s="33">
        <v>0</v>
      </c>
      <c r="I7" s="33">
        <f t="shared" si="6"/>
        <v>0.006639304683727865</v>
      </c>
      <c r="J7" s="34">
        <f t="shared" si="0"/>
        <v>117.13423219927907</v>
      </c>
      <c r="K7" s="34">
        <f t="shared" si="1"/>
        <v>17759.679314722896</v>
      </c>
      <c r="L7" s="53"/>
      <c r="M7" s="93">
        <f>+'Population extract'!F11/'Population extract'!D11-1</f>
        <v>0.26635683244809294</v>
      </c>
      <c r="N7" s="93">
        <v>0</v>
      </c>
      <c r="O7" s="33">
        <f t="shared" si="7"/>
        <v>0.26635683244809294</v>
      </c>
      <c r="P7" s="34">
        <f t="shared" si="2"/>
        <v>4699.212424503669</v>
      </c>
      <c r="Q7" s="34">
        <f t="shared" si="3"/>
        <v>22341.757507027287</v>
      </c>
      <c r="R7" s="53"/>
      <c r="S7" s="33">
        <f>+'Population extract'!G11/'Population extract'!D11-1</f>
        <v>0.20376629647513278</v>
      </c>
      <c r="T7" s="50">
        <v>0</v>
      </c>
      <c r="U7" s="33">
        <f t="shared" si="8"/>
        <v>0.20376629647513278</v>
      </c>
      <c r="V7" s="34">
        <f t="shared" si="4"/>
        <v>3594.9560718614034</v>
      </c>
      <c r="W7" s="34">
        <f t="shared" si="5"/>
        <v>21237.501154385023</v>
      </c>
    </row>
    <row r="8" spans="1:23" ht="12.75">
      <c r="A8" s="103"/>
      <c r="B8" s="53" t="s">
        <v>119</v>
      </c>
      <c r="C8" s="32">
        <f>+'Baseline FT student numbers'!H14</f>
        <v>5673.351194718039</v>
      </c>
      <c r="D8" s="32"/>
      <c r="E8" s="32">
        <f>+C16*'Population extract'!D12/'Population extract'!D20</f>
        <v>16306.752924372264</v>
      </c>
      <c r="F8" s="32"/>
      <c r="G8" s="33">
        <f>+'Population extract'!E12/'Population extract'!D12-1</f>
        <v>-0.0639240506329114</v>
      </c>
      <c r="H8" s="33">
        <v>0</v>
      </c>
      <c r="I8" s="33">
        <f t="shared" si="6"/>
        <v>-0.0639240506329114</v>
      </c>
      <c r="J8" s="34">
        <f t="shared" si="0"/>
        <v>-1042.3936995959486</v>
      </c>
      <c r="K8" s="34">
        <f t="shared" si="1"/>
        <v>15264.359224776315</v>
      </c>
      <c r="L8" s="53"/>
      <c r="M8" s="93">
        <f>+'Population extract'!F12/'Population extract'!D12-1</f>
        <v>0.021677215189873422</v>
      </c>
      <c r="N8" s="93">
        <v>0</v>
      </c>
      <c r="O8" s="33">
        <f t="shared" si="7"/>
        <v>0.021677215189873422</v>
      </c>
      <c r="P8" s="34">
        <f t="shared" si="2"/>
        <v>353.4849921897153</v>
      </c>
      <c r="Q8" s="34">
        <f t="shared" si="3"/>
        <v>16660.23791656198</v>
      </c>
      <c r="R8" s="53"/>
      <c r="S8" s="33">
        <f>+'Population extract'!G12/'Population extract'!D12-1</f>
        <v>0.11582278481012653</v>
      </c>
      <c r="T8" s="50">
        <v>0</v>
      </c>
      <c r="U8" s="33">
        <f t="shared" si="8"/>
        <v>0.11582278481012653</v>
      </c>
      <c r="V8" s="34">
        <f t="shared" si="4"/>
        <v>1888.6935349114704</v>
      </c>
      <c r="W8" s="34">
        <f t="shared" si="5"/>
        <v>18195.446459283736</v>
      </c>
    </row>
    <row r="9" spans="1:23" ht="12.75">
      <c r="A9" s="103"/>
      <c r="B9" s="53" t="s">
        <v>120</v>
      </c>
      <c r="C9" s="32">
        <f>+'Baseline FT student numbers'!H15</f>
        <v>5748.04207823834</v>
      </c>
      <c r="D9" s="32"/>
      <c r="E9" s="32">
        <f>+C17*'Population extract'!D13/'Population extract'!D21</f>
        <v>18872.60136925688</v>
      </c>
      <c r="F9" s="32"/>
      <c r="G9" s="33">
        <f>+'Population extract'!E13/'Population extract'!D13-1</f>
        <v>0.028153545310867667</v>
      </c>
      <c r="H9" s="33">
        <v>0</v>
      </c>
      <c r="I9" s="33">
        <f t="shared" si="6"/>
        <v>0.028153545310867667</v>
      </c>
      <c r="J9" s="34">
        <f t="shared" si="0"/>
        <v>531.3306377833168</v>
      </c>
      <c r="K9" s="34">
        <f t="shared" si="1"/>
        <v>19403.9320070402</v>
      </c>
      <c r="L9" s="53"/>
      <c r="M9" s="93">
        <f>+'Population extract'!F13/'Population extract'!D13-1</f>
        <v>-0.08044252765797866</v>
      </c>
      <c r="N9" s="93">
        <v>0</v>
      </c>
      <c r="O9" s="33">
        <f t="shared" si="7"/>
        <v>-0.08044252765797866</v>
      </c>
      <c r="P9" s="34">
        <f t="shared" si="2"/>
        <v>-1518.1597576244526</v>
      </c>
      <c r="Q9" s="34">
        <f t="shared" si="3"/>
        <v>17354.44161163243</v>
      </c>
      <c r="R9" s="53"/>
      <c r="S9" s="33">
        <f>+'Population extract'!G13/'Population extract'!D13-1</f>
        <v>0.039270311537328295</v>
      </c>
      <c r="T9" s="50">
        <v>0</v>
      </c>
      <c r="U9" s="33">
        <f t="shared" si="8"/>
        <v>0.039270311537328295</v>
      </c>
      <c r="V9" s="34">
        <f t="shared" si="4"/>
        <v>741.1329352905262</v>
      </c>
      <c r="W9" s="34">
        <f t="shared" si="5"/>
        <v>19613.734304547408</v>
      </c>
    </row>
    <row r="10" spans="1:23" ht="12.75">
      <c r="A10" s="103"/>
      <c r="B10" s="53" t="s">
        <v>121</v>
      </c>
      <c r="C10" s="32">
        <f>+'Baseline FT student numbers'!H16</f>
        <v>1255.0172399960356</v>
      </c>
      <c r="D10" s="32"/>
      <c r="E10" s="32">
        <f>+C18*'Population extract'!D14/'Population extract'!D22</f>
        <v>3083.4895447513513</v>
      </c>
      <c r="F10" s="32"/>
      <c r="G10" s="33">
        <f>+'Population extract'!E14/'Population extract'!D14-1</f>
        <v>0.01314116150911393</v>
      </c>
      <c r="H10" s="33">
        <v>0</v>
      </c>
      <c r="I10" s="33">
        <f t="shared" si="6"/>
        <v>0.01314116150911393</v>
      </c>
      <c r="J10" s="34">
        <f t="shared" si="0"/>
        <v>40.52063411924169</v>
      </c>
      <c r="K10" s="34">
        <f t="shared" si="1"/>
        <v>3124.010178870593</v>
      </c>
      <c r="L10" s="53"/>
      <c r="M10" s="93">
        <f>+'Population extract'!F14/'Population extract'!D14-1</f>
        <v>0.20266084064303658</v>
      </c>
      <c r="N10" s="93">
        <v>0</v>
      </c>
      <c r="O10" s="33">
        <f t="shared" si="7"/>
        <v>0.20266084064303658</v>
      </c>
      <c r="P10" s="34">
        <f t="shared" si="2"/>
        <v>624.902583253323</v>
      </c>
      <c r="Q10" s="34">
        <f t="shared" si="3"/>
        <v>3708.3921280046743</v>
      </c>
      <c r="R10" s="53"/>
      <c r="S10" s="33">
        <f>+'Population extract'!G14/'Population extract'!D14-1</f>
        <v>0.0934555059184139</v>
      </c>
      <c r="T10" s="50">
        <v>0</v>
      </c>
      <c r="U10" s="33">
        <f t="shared" si="8"/>
        <v>0.0934555059184139</v>
      </c>
      <c r="V10" s="34">
        <f t="shared" si="4"/>
        <v>288.1690753988773</v>
      </c>
      <c r="W10" s="34">
        <f t="shared" si="5"/>
        <v>3371.6586201502287</v>
      </c>
    </row>
    <row r="11" spans="1:23" ht="12.75">
      <c r="A11" s="103"/>
      <c r="B11" s="53" t="s">
        <v>122</v>
      </c>
      <c r="C11" s="32">
        <f>+'Baseline FT student numbers'!H17</f>
        <v>319.8032195798783</v>
      </c>
      <c r="D11" s="32"/>
      <c r="E11" s="32">
        <f>+C19*'Population extract'!D15/'Population extract'!D23</f>
        <v>337.0441379140501</v>
      </c>
      <c r="F11" s="32"/>
      <c r="G11" s="33">
        <f>+'Population extract'!E15/'Population extract'!D15-1</f>
        <v>0.06913070493676199</v>
      </c>
      <c r="H11" s="33">
        <v>0</v>
      </c>
      <c r="I11" s="33">
        <f t="shared" si="6"/>
        <v>0.06913070493676199</v>
      </c>
      <c r="J11" s="34">
        <f t="shared" si="0"/>
        <v>23.30009884880151</v>
      </c>
      <c r="K11" s="34">
        <f t="shared" si="1"/>
        <v>360.3442367628516</v>
      </c>
      <c r="L11" s="53"/>
      <c r="M11" s="93">
        <f>+'Population extract'!F15/'Population extract'!D15-1</f>
        <v>0.2781664027580124</v>
      </c>
      <c r="N11" s="93">
        <v>0</v>
      </c>
      <c r="O11" s="33">
        <f t="shared" si="7"/>
        <v>0.2781664027580124</v>
      </c>
      <c r="P11" s="34">
        <f t="shared" si="2"/>
        <v>93.75435541422675</v>
      </c>
      <c r="Q11" s="34">
        <f t="shared" si="3"/>
        <v>430.7984933282769</v>
      </c>
      <c r="R11" s="53"/>
      <c r="S11" s="33">
        <f>+'Population extract'!G15/'Population extract'!D15-1</f>
        <v>0.5036178869936463</v>
      </c>
      <c r="T11" s="50">
        <v>0</v>
      </c>
      <c r="U11" s="33">
        <f t="shared" si="8"/>
        <v>0.5036178869936463</v>
      </c>
      <c r="V11" s="34">
        <f t="shared" si="4"/>
        <v>169.74145655986902</v>
      </c>
      <c r="W11" s="34">
        <f t="shared" si="5"/>
        <v>506.7855944739191</v>
      </c>
    </row>
    <row r="12" spans="1:23" ht="12.75">
      <c r="A12" s="103" t="s">
        <v>55</v>
      </c>
      <c r="B12" s="53" t="s">
        <v>115</v>
      </c>
      <c r="C12" s="32">
        <f>+'Baseline FT student numbers'!H18</f>
        <v>286479.51370280003</v>
      </c>
      <c r="D12" s="32"/>
      <c r="E12" s="32">
        <f>+'Baseline FT student numbers'!H18</f>
        <v>286479.51370280003</v>
      </c>
      <c r="F12" s="32"/>
      <c r="G12" s="33">
        <f>+'Population extract'!E16/'Population extract'!D16-1</f>
        <v>0.011249497790277285</v>
      </c>
      <c r="H12" s="33">
        <f>+H4</f>
        <v>0.010302968762011533</v>
      </c>
      <c r="I12" s="33">
        <f t="shared" si="6"/>
        <v>0.021668369776610463</v>
      </c>
      <c r="J12" s="34">
        <f t="shared" si="0"/>
        <v>6207.544036335816</v>
      </c>
      <c r="K12" s="34">
        <f t="shared" si="1"/>
        <v>292687.05773913587</v>
      </c>
      <c r="L12" s="53"/>
      <c r="M12" s="93">
        <f>+'Population extract'!F16/'Population extract'!D16-1</f>
        <v>-0.1324829248694256</v>
      </c>
      <c r="N12" s="93">
        <f>+N4</f>
        <v>0.053664522137855775</v>
      </c>
      <c r="O12" s="33">
        <f t="shared" si="7"/>
        <v>-0.08592803558611295</v>
      </c>
      <c r="P12" s="34">
        <f t="shared" si="2"/>
        <v>-24616.621848146533</v>
      </c>
      <c r="Q12" s="34">
        <f t="shared" si="3"/>
        <v>261862.89185465348</v>
      </c>
      <c r="R12" s="53"/>
      <c r="S12" s="33">
        <f>+'Population extract'!G16/'Population extract'!D16-1</f>
        <v>0.023202089192446707</v>
      </c>
      <c r="T12" s="50">
        <f>+T4</f>
        <v>0.08667986692764651</v>
      </c>
      <c r="U12" s="33">
        <f t="shared" si="8"/>
        <v>0.11189311012373793</v>
      </c>
      <c r="V12" s="34">
        <f t="shared" si="4"/>
        <v>32055.083774942294</v>
      </c>
      <c r="W12" s="34">
        <f t="shared" si="5"/>
        <v>318534.59747774235</v>
      </c>
    </row>
    <row r="13" spans="1:23" ht="12.75">
      <c r="A13" s="103"/>
      <c r="B13" s="53" t="s">
        <v>116</v>
      </c>
      <c r="C13" s="32">
        <f>+'Baseline FT student numbers'!H19</f>
        <v>110304.75916390975</v>
      </c>
      <c r="D13" s="32"/>
      <c r="E13" s="32">
        <f>+'Baseline FT student numbers'!H19</f>
        <v>110304.75916390975</v>
      </c>
      <c r="F13" s="32"/>
      <c r="G13" s="33">
        <f>+'Population extract'!E17/'Population extract'!D17-1</f>
        <v>0.049389002036659635</v>
      </c>
      <c r="H13" s="33">
        <v>0</v>
      </c>
      <c r="I13" s="33">
        <f t="shared" si="6"/>
        <v>0.049389002036659635</v>
      </c>
      <c r="J13" s="34">
        <f t="shared" si="0"/>
        <v>5447.841974999589</v>
      </c>
      <c r="K13" s="34">
        <f t="shared" si="1"/>
        <v>115752.60113890935</v>
      </c>
      <c r="L13" s="53"/>
      <c r="M13" s="93">
        <f>+'Population extract'!F17/'Population extract'!D17-1</f>
        <v>-0.02582193773639818</v>
      </c>
      <c r="N13" s="93">
        <v>0</v>
      </c>
      <c r="O13" s="33">
        <f t="shared" si="7"/>
        <v>-0.02582193773639818</v>
      </c>
      <c r="P13" s="34">
        <f t="shared" si="2"/>
        <v>-2848.2826231588742</v>
      </c>
      <c r="Q13" s="34">
        <f t="shared" si="3"/>
        <v>107456.47654075088</v>
      </c>
      <c r="R13" s="53"/>
      <c r="S13" s="33">
        <f>+'Population extract'!G17/'Population extract'!D17-1</f>
        <v>0.00945592086121616</v>
      </c>
      <c r="T13" s="50">
        <v>0</v>
      </c>
      <c r="U13" s="33">
        <f t="shared" si="8"/>
        <v>0.00945592086121616</v>
      </c>
      <c r="V13" s="34">
        <f t="shared" si="4"/>
        <v>1043.0330732694388</v>
      </c>
      <c r="W13" s="34">
        <f t="shared" si="5"/>
        <v>111347.7922371792</v>
      </c>
    </row>
    <row r="14" spans="1:23" ht="12.75" customHeight="1">
      <c r="A14" s="103"/>
      <c r="B14" s="53" t="s">
        <v>117</v>
      </c>
      <c r="C14" s="32">
        <f>+'Baseline FT student numbers'!H20</f>
        <v>28774.925872264514</v>
      </c>
      <c r="D14" s="32"/>
      <c r="E14" s="32">
        <f>+'Baseline FT student numbers'!H20</f>
        <v>28774.925872264514</v>
      </c>
      <c r="F14" s="32"/>
      <c r="G14" s="33">
        <f>+'Population extract'!E18/'Population extract'!D18-1</f>
        <v>0.07898149239655794</v>
      </c>
      <c r="H14" s="33">
        <v>0</v>
      </c>
      <c r="I14" s="33">
        <f t="shared" si="6"/>
        <v>0.07898149239655794</v>
      </c>
      <c r="J14" s="34">
        <f t="shared" si="0"/>
        <v>2272.686588991778</v>
      </c>
      <c r="K14" s="34">
        <f t="shared" si="1"/>
        <v>31047.612461256293</v>
      </c>
      <c r="L14" s="53"/>
      <c r="M14" s="93">
        <f>+'Population extract'!F18/'Population extract'!D18-1</f>
        <v>0.13226452905811636</v>
      </c>
      <c r="N14" s="93">
        <v>0</v>
      </c>
      <c r="O14" s="33">
        <f t="shared" si="7"/>
        <v>0.13226452905811636</v>
      </c>
      <c r="P14" s="34">
        <f t="shared" si="2"/>
        <v>3805.9020191772743</v>
      </c>
      <c r="Q14" s="34">
        <f t="shared" si="3"/>
        <v>32580.82789144179</v>
      </c>
      <c r="R14" s="53"/>
      <c r="S14" s="33">
        <f>+'Population extract'!G18/'Population extract'!D18-1</f>
        <v>0.03860662501473544</v>
      </c>
      <c r="T14" s="50">
        <v>0</v>
      </c>
      <c r="U14" s="33">
        <f t="shared" si="8"/>
        <v>0.03860662501473544</v>
      </c>
      <c r="V14" s="34">
        <f t="shared" si="4"/>
        <v>1110.9027729773252</v>
      </c>
      <c r="W14" s="34">
        <f t="shared" si="5"/>
        <v>29885.82864524184</v>
      </c>
    </row>
    <row r="15" spans="1:23" ht="12.75">
      <c r="A15" s="103"/>
      <c r="B15" s="53" t="s">
        <v>118</v>
      </c>
      <c r="C15" s="32">
        <f>+'Baseline FT student numbers'!H21</f>
        <v>17665.971928963478</v>
      </c>
      <c r="D15" s="32"/>
      <c r="E15" s="32">
        <f>+'Baseline FT student numbers'!H21</f>
        <v>17665.971928963478</v>
      </c>
      <c r="F15" s="53"/>
      <c r="G15" s="33">
        <f>+'Population extract'!E19/'Population extract'!D19-1</f>
        <v>0.011874623267028372</v>
      </c>
      <c r="H15" s="33">
        <v>0</v>
      </c>
      <c r="I15" s="33">
        <f t="shared" si="6"/>
        <v>0.011874623267028372</v>
      </c>
      <c r="J15" s="34">
        <f t="shared" si="0"/>
        <v>209.77676130233982</v>
      </c>
      <c r="K15" s="34">
        <f t="shared" si="1"/>
        <v>17875.748690265817</v>
      </c>
      <c r="L15" s="53"/>
      <c r="M15" s="93">
        <f>+'Population extract'!F19/'Population extract'!D19-1</f>
        <v>0.2275467148884871</v>
      </c>
      <c r="N15" s="93">
        <v>0</v>
      </c>
      <c r="O15" s="33">
        <f t="shared" si="7"/>
        <v>0.2275467148884871</v>
      </c>
      <c r="P15" s="34">
        <f t="shared" si="2"/>
        <v>4019.833877747869</v>
      </c>
      <c r="Q15" s="34">
        <f t="shared" si="3"/>
        <v>21685.805806711345</v>
      </c>
      <c r="R15" s="53"/>
      <c r="S15" s="33">
        <f>+'Population extract'!G19/'Population extract'!D19-1</f>
        <v>0.16015672091621447</v>
      </c>
      <c r="T15" s="50">
        <v>0</v>
      </c>
      <c r="U15" s="33">
        <f t="shared" si="8"/>
        <v>0.16015672091621447</v>
      </c>
      <c r="V15" s="34">
        <f t="shared" si="4"/>
        <v>2829.3241359406825</v>
      </c>
      <c r="W15" s="34">
        <f t="shared" si="5"/>
        <v>20495.29606490416</v>
      </c>
    </row>
    <row r="16" spans="1:23" ht="12.75">
      <c r="A16" s="103"/>
      <c r="B16" s="53" t="s">
        <v>119</v>
      </c>
      <c r="C16" s="32">
        <f>+'Baseline FT student numbers'!H22</f>
        <v>16485.64557248774</v>
      </c>
      <c r="D16" s="32"/>
      <c r="E16" s="32">
        <f>+'Baseline FT student numbers'!H22</f>
        <v>16485.64557248774</v>
      </c>
      <c r="F16" s="53"/>
      <c r="G16" s="33">
        <f>+'Population extract'!E20/'Population extract'!D20-1</f>
        <v>-0.06604757929883154</v>
      </c>
      <c r="H16" s="33">
        <v>0</v>
      </c>
      <c r="I16" s="33">
        <f t="shared" si="6"/>
        <v>-0.06604757929883154</v>
      </c>
      <c r="J16" s="34">
        <f t="shared" si="0"/>
        <v>-1088.8369832413152</v>
      </c>
      <c r="K16" s="34">
        <f t="shared" si="1"/>
        <v>15396.808589246426</v>
      </c>
      <c r="L16" s="53"/>
      <c r="M16" s="93">
        <f>+'Population extract'!F20/'Population extract'!D20-1</f>
        <v>-0.0011477462437397001</v>
      </c>
      <c r="N16" s="93">
        <v>0</v>
      </c>
      <c r="O16" s="33">
        <f t="shared" si="7"/>
        <v>-0.0011477462437397001</v>
      </c>
      <c r="P16" s="34">
        <f t="shared" si="2"/>
        <v>-18.921337781446823</v>
      </c>
      <c r="Q16" s="34">
        <f t="shared" si="3"/>
        <v>16466.724234706293</v>
      </c>
      <c r="R16" s="53"/>
      <c r="S16" s="33">
        <f>+'Population extract'!G20/'Population extract'!D20-1</f>
        <v>0.06818656093489128</v>
      </c>
      <c r="T16" s="50">
        <v>0</v>
      </c>
      <c r="U16" s="33">
        <f t="shared" si="8"/>
        <v>0.06818656093489128</v>
      </c>
      <c r="V16" s="34">
        <f t="shared" si="4"/>
        <v>1124.099476379456</v>
      </c>
      <c r="W16" s="34">
        <f t="shared" si="5"/>
        <v>17609.745048867197</v>
      </c>
    </row>
    <row r="17" spans="1:23" ht="12.75">
      <c r="A17" s="103"/>
      <c r="B17" s="53" t="s">
        <v>120</v>
      </c>
      <c r="C17" s="32">
        <f>+'Baseline FT student numbers'!H23</f>
        <v>19119.814196922</v>
      </c>
      <c r="D17" s="32"/>
      <c r="E17" s="32">
        <f>+'Baseline FT student numbers'!H23</f>
        <v>19119.814196922</v>
      </c>
      <c r="F17" s="53"/>
      <c r="G17" s="33">
        <f>+'Population extract'!E21/'Population extract'!D21-1</f>
        <v>0.028027498677948293</v>
      </c>
      <c r="H17" s="33">
        <v>0</v>
      </c>
      <c r="I17" s="33">
        <f t="shared" si="6"/>
        <v>0.028027498677948293</v>
      </c>
      <c r="J17" s="34">
        <f t="shared" si="0"/>
        <v>535.8805671268484</v>
      </c>
      <c r="K17" s="34">
        <f t="shared" si="1"/>
        <v>19655.69476404885</v>
      </c>
      <c r="L17" s="53"/>
      <c r="M17" s="93">
        <f>+'Population extract'!F21/'Population extract'!D21-1</f>
        <v>-0.08276044420941309</v>
      </c>
      <c r="N17" s="93">
        <v>0</v>
      </c>
      <c r="O17" s="33">
        <f t="shared" si="7"/>
        <v>-0.08276044420941309</v>
      </c>
      <c r="P17" s="34">
        <f t="shared" si="2"/>
        <v>-1582.3643161387076</v>
      </c>
      <c r="Q17" s="34">
        <f t="shared" si="3"/>
        <v>17537.449880783293</v>
      </c>
      <c r="R17" s="53"/>
      <c r="S17" s="33">
        <f>+'Population extract'!G21/'Population extract'!D21-1</f>
        <v>0.015415124272871283</v>
      </c>
      <c r="T17" s="50">
        <v>0</v>
      </c>
      <c r="U17" s="33">
        <f t="shared" si="8"/>
        <v>0.015415124272871283</v>
      </c>
      <c r="V17" s="34">
        <f t="shared" si="4"/>
        <v>294.7343119197613</v>
      </c>
      <c r="W17" s="34">
        <f t="shared" si="5"/>
        <v>19414.548508841763</v>
      </c>
    </row>
    <row r="18" spans="1:23" ht="12.75">
      <c r="A18" s="103"/>
      <c r="B18" s="53" t="s">
        <v>121</v>
      </c>
      <c r="C18" s="32">
        <f>+'Baseline FT student numbers'!H24</f>
        <v>3161.2127461761</v>
      </c>
      <c r="D18" s="32"/>
      <c r="E18" s="32">
        <f>+'Baseline FT student numbers'!H24</f>
        <v>3161.2127461761</v>
      </c>
      <c r="F18" s="53"/>
      <c r="G18" s="33">
        <f>+'Population extract'!E22/'Population extract'!D22-1</f>
        <v>0.010368956743002755</v>
      </c>
      <c r="H18" s="33">
        <v>0</v>
      </c>
      <c r="I18" s="33">
        <f t="shared" si="6"/>
        <v>0.010368956743002755</v>
      </c>
      <c r="J18" s="34">
        <f t="shared" si="0"/>
        <v>32.77847822052893</v>
      </c>
      <c r="K18" s="34">
        <f t="shared" si="1"/>
        <v>3193.991224396629</v>
      </c>
      <c r="L18" s="53"/>
      <c r="M18" s="93">
        <f>+'Population extract'!F22/'Population extract'!D22-1</f>
        <v>0.20254452926208666</v>
      </c>
      <c r="N18" s="93">
        <v>0</v>
      </c>
      <c r="O18" s="33">
        <f t="shared" si="7"/>
        <v>0.20254452926208666</v>
      </c>
      <c r="P18" s="34">
        <f t="shared" si="2"/>
        <v>640.2863475715465</v>
      </c>
      <c r="Q18" s="34">
        <f t="shared" si="3"/>
        <v>3801.499093747647</v>
      </c>
      <c r="R18" s="53"/>
      <c r="S18" s="33">
        <f>+'Population extract'!G22/'Population extract'!D22-1</f>
        <v>0.09013994910941481</v>
      </c>
      <c r="T18" s="50">
        <v>0</v>
      </c>
      <c r="U18" s="33">
        <f t="shared" si="8"/>
        <v>0.09013994910941481</v>
      </c>
      <c r="V18" s="34">
        <f t="shared" si="4"/>
        <v>284.9515560643471</v>
      </c>
      <c r="W18" s="34">
        <f t="shared" si="5"/>
        <v>3446.1643022404473</v>
      </c>
    </row>
    <row r="19" spans="1:23" ht="12.75">
      <c r="A19" s="103"/>
      <c r="B19" s="53" t="s">
        <v>122</v>
      </c>
      <c r="C19" s="32">
        <f>+'Baseline FT student numbers'!H25</f>
        <v>413.42982004898744</v>
      </c>
      <c r="D19" s="32"/>
      <c r="E19" s="32">
        <f>+'Baseline FT student numbers'!H25</f>
        <v>413.42982004898744</v>
      </c>
      <c r="F19" s="53"/>
      <c r="G19" s="33">
        <f>+'Population extract'!E23/'Population extract'!D23-1</f>
        <v>0.0454753423314489</v>
      </c>
      <c r="H19" s="33">
        <v>0</v>
      </c>
      <c r="I19" s="33">
        <f t="shared" si="6"/>
        <v>0.0454753423314489</v>
      </c>
      <c r="J19" s="34">
        <f t="shared" si="0"/>
        <v>18.800862596757018</v>
      </c>
      <c r="K19" s="34">
        <f t="shared" si="1"/>
        <v>432.2306826457445</v>
      </c>
      <c r="L19" s="53"/>
      <c r="M19" s="93">
        <f>+'Population extract'!F23/'Population extract'!D23-1</f>
        <v>0.1963953070361779</v>
      </c>
      <c r="N19" s="93">
        <v>0</v>
      </c>
      <c r="O19" s="33">
        <f t="shared" si="7"/>
        <v>0.1963953070361779</v>
      </c>
      <c r="P19" s="34">
        <f t="shared" si="2"/>
        <v>81.19567644643267</v>
      </c>
      <c r="Q19" s="34">
        <f t="shared" si="3"/>
        <v>494.6254964954201</v>
      </c>
      <c r="R19" s="53"/>
      <c r="S19" s="33">
        <f>+'Population extract'!G23/'Population extract'!D23-1</f>
        <v>0.3921043171345473</v>
      </c>
      <c r="T19" s="50">
        <v>0</v>
      </c>
      <c r="U19" s="33">
        <f t="shared" si="8"/>
        <v>0.3921043171345473</v>
      </c>
      <c r="V19" s="34">
        <f t="shared" si="4"/>
        <v>162.107617273367</v>
      </c>
      <c r="W19" s="34">
        <f t="shared" si="5"/>
        <v>575.5374373223544</v>
      </c>
    </row>
    <row r="20" spans="1:23" ht="12.75">
      <c r="A20" s="94" t="s">
        <v>123</v>
      </c>
      <c r="B20" s="94"/>
      <c r="C20" s="95">
        <f>SUM(C4:C11)</f>
        <v>375042.9138566527</v>
      </c>
      <c r="D20" s="95"/>
      <c r="E20" s="95">
        <f>SUM(E4:E11)</f>
        <v>505950.65010933526</v>
      </c>
      <c r="F20" s="95"/>
      <c r="G20" s="95"/>
      <c r="H20" s="95"/>
      <c r="I20" s="95"/>
      <c r="J20" s="95">
        <f>SUM(J4:J11)</f>
        <v>16568.307996388387</v>
      </c>
      <c r="K20" s="95">
        <f>SUM(K4:K11)</f>
        <v>522518.9581057236</v>
      </c>
      <c r="L20" s="95"/>
      <c r="M20" s="95"/>
      <c r="N20" s="95"/>
      <c r="O20" s="95"/>
      <c r="P20" s="95">
        <f>SUM(P4:P11)</f>
        <v>-16762.807047220635</v>
      </c>
      <c r="Q20" s="95">
        <f>SUM(Q4:Q11)</f>
        <v>489187.8430621146</v>
      </c>
      <c r="R20" s="95"/>
      <c r="S20" s="95"/>
      <c r="T20" s="95"/>
      <c r="U20" s="95"/>
      <c r="V20" s="95">
        <f>SUM(V4:V11)</f>
        <v>44923.84513049259</v>
      </c>
      <c r="W20" s="95">
        <f>SUM(W4:W11)</f>
        <v>550874.4952398279</v>
      </c>
    </row>
    <row r="21" spans="1:23" ht="12.75">
      <c r="A21" s="94" t="s">
        <v>124</v>
      </c>
      <c r="B21" s="94"/>
      <c r="C21" s="32">
        <f>SUM(C12:C19)</f>
        <v>482405.2730035726</v>
      </c>
      <c r="D21" s="32"/>
      <c r="E21" s="32">
        <f>SUM(E12:E19)</f>
        <v>482405.2730035726</v>
      </c>
      <c r="F21" s="32"/>
      <c r="G21" s="32"/>
      <c r="H21" s="32"/>
      <c r="I21" s="32"/>
      <c r="J21" s="32">
        <f>SUM(J12:J19)</f>
        <v>13636.472286332346</v>
      </c>
      <c r="K21" s="32">
        <f>SUM(K12:K19)</f>
        <v>496041.74528990494</v>
      </c>
      <c r="L21" s="32"/>
      <c r="M21" s="32"/>
      <c r="N21" s="32"/>
      <c r="O21" s="32"/>
      <c r="P21" s="32">
        <f>SUM(P12:P19)</f>
        <v>-20518.97220428244</v>
      </c>
      <c r="Q21" s="32">
        <f>SUM(Q12:Q19)</f>
        <v>461886.3007992901</v>
      </c>
      <c r="R21" s="32"/>
      <c r="S21" s="32"/>
      <c r="T21" s="32"/>
      <c r="U21" s="32"/>
      <c r="V21" s="32">
        <f>SUM(V12:V19)</f>
        <v>38904.236718766675</v>
      </c>
      <c r="W21" s="32">
        <f>SUM(W12:W19)</f>
        <v>521309.50972233934</v>
      </c>
    </row>
    <row r="22" spans="1:24" ht="12.75">
      <c r="A22" s="94" t="s">
        <v>0</v>
      </c>
      <c r="B22" s="94"/>
      <c r="C22" s="32">
        <f>SUM(C4:C19)</f>
        <v>857448.1868602252</v>
      </c>
      <c r="D22" s="32"/>
      <c r="E22" s="32">
        <f>SUM(E4:E19)</f>
        <v>988355.9231129078</v>
      </c>
      <c r="F22" s="32"/>
      <c r="G22" s="32"/>
      <c r="H22" s="32"/>
      <c r="I22" s="32"/>
      <c r="J22" s="32">
        <f>SUM(J4:J19)</f>
        <v>30204.780282720723</v>
      </c>
      <c r="K22" s="32">
        <f>SUM(K4:K19)</f>
        <v>1018560.7033956285</v>
      </c>
      <c r="L22" s="32"/>
      <c r="M22" s="32"/>
      <c r="N22" s="32"/>
      <c r="O22" s="32"/>
      <c r="P22" s="32">
        <f>SUM(P4:P19)</f>
        <v>-37281.77925150307</v>
      </c>
      <c r="Q22" s="32">
        <f>SUM(Q4:Q19)</f>
        <v>951074.1438614046</v>
      </c>
      <c r="R22" s="32"/>
      <c r="S22" s="32"/>
      <c r="T22" s="32"/>
      <c r="U22" s="32"/>
      <c r="V22" s="32">
        <f>SUM(V4:V19)</f>
        <v>83828.08184925927</v>
      </c>
      <c r="W22" s="32">
        <f>SUM(W4:W19)</f>
        <v>1072184.0049621672</v>
      </c>
      <c r="X22" s="1">
        <f>W22-C22</f>
        <v>214735.81810194207</v>
      </c>
    </row>
    <row r="23" spans="1:17" ht="12.75">
      <c r="A23" s="31"/>
      <c r="B23" s="30"/>
      <c r="C23" s="30"/>
      <c r="D23" s="30"/>
      <c r="E23" s="82"/>
      <c r="F23" s="30"/>
      <c r="G23" s="30"/>
      <c r="H23" s="30"/>
      <c r="I23" s="30"/>
      <c r="J23" s="43"/>
      <c r="K23" s="30"/>
      <c r="L23" s="30"/>
      <c r="M23" s="30"/>
      <c r="N23" s="44"/>
      <c r="O23" s="33"/>
      <c r="P23" s="32">
        <v>1.1088664421997756</v>
      </c>
      <c r="Q23" s="34"/>
    </row>
    <row r="24" spans="1:17" ht="12.75">
      <c r="A24" s="31"/>
      <c r="B24" s="32"/>
      <c r="C24" s="32"/>
      <c r="D24" s="32"/>
      <c r="E24" s="45"/>
      <c r="F24" s="45"/>
      <c r="G24" s="8"/>
      <c r="H24" s="8"/>
      <c r="I24" s="8"/>
      <c r="J24" s="46"/>
      <c r="K24" s="1"/>
      <c r="L24" s="34"/>
      <c r="M24" s="11"/>
      <c r="N24" s="47"/>
      <c r="O24" s="33"/>
      <c r="P24" s="32"/>
      <c r="Q24" s="34"/>
    </row>
    <row r="25" spans="1:17" ht="12.75">
      <c r="A25" s="31"/>
      <c r="B25" s="32"/>
      <c r="C25" s="32"/>
      <c r="D25" s="32"/>
      <c r="E25" s="45"/>
      <c r="F25" s="45"/>
      <c r="G25" s="8"/>
      <c r="H25" s="8"/>
      <c r="I25" s="8"/>
      <c r="J25" s="46"/>
      <c r="K25" s="1"/>
      <c r="L25" s="34"/>
      <c r="M25" s="11"/>
      <c r="N25" s="47"/>
      <c r="O25" s="33"/>
      <c r="P25" s="32"/>
      <c r="Q25" s="34"/>
    </row>
    <row r="26" spans="2:17" ht="12.75">
      <c r="B26" s="1"/>
      <c r="C26" s="1"/>
      <c r="D26" s="1"/>
      <c r="E26" s="48"/>
      <c r="F26" s="48"/>
      <c r="G26" s="8"/>
      <c r="H26" s="8"/>
      <c r="I26" s="8"/>
      <c r="J26" s="46"/>
      <c r="K26" s="1"/>
      <c r="L26" s="1"/>
      <c r="M26" s="49"/>
      <c r="N26" s="47"/>
      <c r="O26" s="33"/>
      <c r="P26" s="32"/>
      <c r="Q26" s="34"/>
    </row>
    <row r="27" spans="15:17" ht="12.75">
      <c r="O27" s="33"/>
      <c r="P27" s="32"/>
      <c r="Q27" s="34"/>
    </row>
    <row r="28" spans="1:17" ht="12.75">
      <c r="A28" s="38"/>
      <c r="B28" s="37"/>
      <c r="C28" s="39"/>
      <c r="D28" s="39"/>
      <c r="E28" s="39"/>
      <c r="F28" s="39"/>
      <c r="G28" s="40"/>
      <c r="H28" s="40"/>
      <c r="I28" s="40"/>
      <c r="J28" s="41"/>
      <c r="K28" s="34"/>
      <c r="L28" s="33"/>
      <c r="M28" s="32"/>
      <c r="N28" s="34"/>
      <c r="O28" s="33"/>
      <c r="P28" s="32"/>
      <c r="Q28" s="34"/>
    </row>
    <row r="29" spans="1:17" ht="12.75">
      <c r="A29" s="38"/>
      <c r="B29" s="37"/>
      <c r="C29" s="42"/>
      <c r="D29" s="42"/>
      <c r="E29" s="42"/>
      <c r="F29" s="42"/>
      <c r="G29" s="41"/>
      <c r="H29" s="41"/>
      <c r="I29" s="41"/>
      <c r="J29" s="42"/>
      <c r="K29" s="34"/>
      <c r="L29" s="36"/>
      <c r="M29" s="35"/>
      <c r="N29" s="34"/>
      <c r="O29" s="36"/>
      <c r="P29" s="35"/>
      <c r="Q29" s="34"/>
    </row>
    <row r="30" spans="1:17" ht="12.75">
      <c r="A30" s="37"/>
      <c r="B30" s="37"/>
      <c r="C30" s="42"/>
      <c r="D30" s="42"/>
      <c r="E30" s="42"/>
      <c r="F30" s="42"/>
      <c r="G30" s="41"/>
      <c r="H30" s="41"/>
      <c r="I30" s="41"/>
      <c r="J30" s="42"/>
      <c r="K30" s="34"/>
      <c r="L30" s="36"/>
      <c r="M30" s="35"/>
      <c r="N30" s="34"/>
      <c r="O30" s="36"/>
      <c r="P30" s="35"/>
      <c r="Q30" s="34"/>
    </row>
    <row r="31" spans="1:17" ht="12.75">
      <c r="A31" s="112"/>
      <c r="B31" s="112"/>
      <c r="C31" s="32"/>
      <c r="D31" s="32"/>
      <c r="E31" s="32"/>
      <c r="F31" s="32"/>
      <c r="G31" s="37"/>
      <c r="H31" s="37"/>
      <c r="I31" s="37"/>
      <c r="J31" s="32"/>
      <c r="K31" s="32"/>
      <c r="L31" s="31"/>
      <c r="M31" s="32"/>
      <c r="N31" s="32"/>
      <c r="O31" s="31"/>
      <c r="P31" s="32"/>
      <c r="Q31" s="32"/>
    </row>
    <row r="32" spans="1:17" ht="12.75">
      <c r="A32" s="4"/>
      <c r="B32" s="4"/>
      <c r="Q32" s="1"/>
    </row>
  </sheetData>
  <sheetProtection/>
  <mergeCells count="6">
    <mergeCell ref="S1:W1"/>
    <mergeCell ref="A4:A11"/>
    <mergeCell ref="A12:A19"/>
    <mergeCell ref="A31:B31"/>
    <mergeCell ref="G1:K1"/>
    <mergeCell ref="M1:Q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28125" style="0" customWidth="1"/>
    <col min="3" max="3" width="11.7109375" style="0" customWidth="1"/>
    <col min="4" max="4" width="13.140625" style="0" hidden="1" customWidth="1"/>
    <col min="6" max="6" width="13.140625" style="0" hidden="1" customWidth="1"/>
    <col min="7" max="7" width="11.28125" style="0" customWidth="1"/>
    <col min="8" max="8" width="12.140625" style="0" customWidth="1"/>
    <col min="11" max="11" width="6.140625" style="0" customWidth="1"/>
    <col min="14" max="14" width="13.8515625" style="0" customWidth="1"/>
  </cols>
  <sheetData>
    <row r="1" spans="4:16" ht="18">
      <c r="D1" s="113" t="s">
        <v>66</v>
      </c>
      <c r="E1" s="113"/>
      <c r="F1" s="113" t="s">
        <v>106</v>
      </c>
      <c r="G1" s="113"/>
      <c r="H1" s="87"/>
      <c r="I1" s="87"/>
      <c r="J1" s="87"/>
      <c r="L1" s="87"/>
      <c r="M1" s="88"/>
      <c r="N1" s="88"/>
      <c r="O1" s="88"/>
      <c r="P1" s="88"/>
    </row>
    <row r="2" spans="1:16" ht="38.25">
      <c r="A2" s="31"/>
      <c r="B2" s="86"/>
      <c r="C2" s="86" t="s">
        <v>132</v>
      </c>
      <c r="D2" s="86" t="s">
        <v>135</v>
      </c>
      <c r="E2" s="86" t="s">
        <v>136</v>
      </c>
      <c r="F2" s="86" t="s">
        <v>137</v>
      </c>
      <c r="G2" s="86" t="s">
        <v>138</v>
      </c>
      <c r="H2" s="43"/>
      <c r="I2" s="30"/>
      <c r="J2" s="30"/>
      <c r="L2" s="30"/>
      <c r="M2" s="30"/>
      <c r="N2" s="43"/>
      <c r="O2" s="30"/>
      <c r="P2" s="30"/>
    </row>
    <row r="3" spans="1:16" ht="12.75">
      <c r="A3" s="115" t="s">
        <v>76</v>
      </c>
      <c r="B3" s="53" t="s">
        <v>133</v>
      </c>
      <c r="C3" s="32">
        <f>+'Table 4'!D21</f>
        <v>857448.1868602252</v>
      </c>
      <c r="D3" s="34">
        <f>+'Table 4'!O21</f>
        <v>-34995.561358665545</v>
      </c>
      <c r="E3" s="34">
        <f>+'Table 4'!P21</f>
        <v>822452.6255015596</v>
      </c>
      <c r="F3" s="100">
        <f>+'Table 4'!U21</f>
        <v>70962.60340650074</v>
      </c>
      <c r="G3" s="100">
        <f>+'Table 4'!V21</f>
        <v>928410.7902667262</v>
      </c>
      <c r="H3" s="33"/>
      <c r="I3" s="34"/>
      <c r="J3" s="34"/>
      <c r="L3" s="33"/>
      <c r="M3" s="50"/>
      <c r="N3" s="33"/>
      <c r="O3" s="34"/>
      <c r="P3" s="34"/>
    </row>
    <row r="4" spans="1:18" ht="12.75">
      <c r="A4" s="115"/>
      <c r="B4" s="53" t="s">
        <v>134</v>
      </c>
      <c r="C4" s="32">
        <f>+'Table 16'!D21</f>
        <v>171046.24350190294</v>
      </c>
      <c r="D4" s="34">
        <f>+'Table 16'!P21</f>
        <v>9674.131516932299</v>
      </c>
      <c r="E4" s="34">
        <f>+'Table 16'!Q21</f>
        <v>180720.37501883527</v>
      </c>
      <c r="F4" s="100">
        <f>+'Table 16'!V21</f>
        <v>13937.377650902046</v>
      </c>
      <c r="G4" s="100">
        <f>+'Table 16'!W21</f>
        <v>184983.62115280496</v>
      </c>
      <c r="H4" s="33"/>
      <c r="I4" s="34"/>
      <c r="J4" s="34"/>
      <c r="L4" s="33"/>
      <c r="M4" s="50"/>
      <c r="N4" s="33"/>
      <c r="O4" s="34"/>
      <c r="P4" s="34"/>
      <c r="Q4" s="1"/>
      <c r="R4" s="1"/>
    </row>
    <row r="5" spans="1:19" ht="12.75">
      <c r="A5" s="115"/>
      <c r="B5" s="53" t="s">
        <v>58</v>
      </c>
      <c r="C5" s="32">
        <f>+C3+C4</f>
        <v>1028494.4303621281</v>
      </c>
      <c r="D5" s="32">
        <f>+D3+D4</f>
        <v>-25321.429841733247</v>
      </c>
      <c r="E5" s="32">
        <f>+E3+E4</f>
        <v>1003173.0005203949</v>
      </c>
      <c r="F5" s="32">
        <f>+F3+F4</f>
        <v>84899.9810574028</v>
      </c>
      <c r="G5" s="32">
        <f>+G3+G4</f>
        <v>1113394.411419531</v>
      </c>
      <c r="H5" s="33">
        <f>G5/C5</f>
        <v>1.0825478277286442</v>
      </c>
      <c r="I5" s="34"/>
      <c r="J5" s="34"/>
      <c r="L5" s="33"/>
      <c r="M5" s="50"/>
      <c r="N5" s="33"/>
      <c r="O5" s="34"/>
      <c r="P5" s="34"/>
      <c r="S5" s="16" t="s">
        <v>60</v>
      </c>
    </row>
    <row r="6" spans="1:16" ht="12.75">
      <c r="A6" s="115" t="s">
        <v>139</v>
      </c>
      <c r="B6" s="53" t="s">
        <v>133</v>
      </c>
      <c r="C6" s="32">
        <f>+C3</f>
        <v>857448.1868602252</v>
      </c>
      <c r="D6" s="34">
        <f>+E6-C6</f>
        <v>85838.1534370645</v>
      </c>
      <c r="E6" s="34">
        <f>E3+(E3*0.18+('Table 18'!$Q$22-'Table 18'!$C$22))/2</f>
        <v>943286.3402972897</v>
      </c>
      <c r="F6" s="100">
        <f>+G6-C6</f>
        <v>261887.4835814773</v>
      </c>
      <c r="G6" s="34">
        <f>G3+(G3*0.18+('Table 18'!W22-'Table 18'!$C$22))/2</f>
        <v>1119335.6704417025</v>
      </c>
      <c r="H6" s="33"/>
      <c r="I6" s="34"/>
      <c r="J6" s="34"/>
      <c r="L6" s="33"/>
      <c r="M6" s="50"/>
      <c r="N6" s="33"/>
      <c r="O6" s="34"/>
      <c r="P6" s="34"/>
    </row>
    <row r="7" spans="1:16" ht="12.75">
      <c r="A7" s="115"/>
      <c r="B7" s="53" t="s">
        <v>134</v>
      </c>
      <c r="C7" s="32">
        <f>+C4</f>
        <v>171046.24350190294</v>
      </c>
      <c r="D7" s="32">
        <f>+D4</f>
        <v>9674.131516932299</v>
      </c>
      <c r="E7" s="32">
        <f>+E4</f>
        <v>180720.37501883527</v>
      </c>
      <c r="F7" s="32">
        <f>+F4</f>
        <v>13937.377650902046</v>
      </c>
      <c r="G7" s="32">
        <f>+G4</f>
        <v>184983.62115280496</v>
      </c>
      <c r="H7" s="33"/>
      <c r="I7" s="34"/>
      <c r="J7" s="34"/>
      <c r="L7" s="33"/>
      <c r="M7" s="50"/>
      <c r="N7" s="33"/>
      <c r="O7" s="34"/>
      <c r="P7" s="34"/>
    </row>
    <row r="8" spans="1:16" ht="12.75">
      <c r="A8" s="115"/>
      <c r="B8" s="53" t="s">
        <v>58</v>
      </c>
      <c r="C8" s="32">
        <f>+C6+C7</f>
        <v>1028494.4303621281</v>
      </c>
      <c r="D8" s="32">
        <f>+D6+D7</f>
        <v>95512.2849539968</v>
      </c>
      <c r="E8" s="32">
        <f>E7+E6</f>
        <v>1124006.715316125</v>
      </c>
      <c r="F8" s="32">
        <f>+F6+F7</f>
        <v>275824.86123237933</v>
      </c>
      <c r="G8" s="32">
        <f>G7+G6</f>
        <v>1304319.2915945074</v>
      </c>
      <c r="H8" s="33">
        <f>G8/C8</f>
        <v>1.2681831355520932</v>
      </c>
      <c r="I8" s="34"/>
      <c r="J8" s="34"/>
      <c r="L8" s="33"/>
      <c r="M8" s="50"/>
      <c r="N8" s="33"/>
      <c r="O8" s="34"/>
      <c r="P8" s="34"/>
    </row>
    <row r="9" spans="2:16" ht="12.75">
      <c r="B9" s="32"/>
      <c r="C9" s="32"/>
      <c r="D9" s="34"/>
      <c r="E9" s="34"/>
      <c r="F9" s="29"/>
      <c r="G9" s="29"/>
      <c r="H9" s="33"/>
      <c r="I9" s="34"/>
      <c r="J9" s="34"/>
      <c r="L9" s="33"/>
      <c r="M9" s="50"/>
      <c r="N9" s="33"/>
      <c r="O9" s="34"/>
      <c r="P9" s="34"/>
    </row>
    <row r="10" spans="1:16" ht="12.75">
      <c r="A10" t="s">
        <v>166</v>
      </c>
      <c r="B10" s="32"/>
      <c r="C10" s="32"/>
      <c r="D10" s="34"/>
      <c r="E10" s="34"/>
      <c r="F10" s="29"/>
      <c r="G10" s="29"/>
      <c r="H10" s="33"/>
      <c r="I10" s="34"/>
      <c r="J10" s="34"/>
      <c r="L10" s="33"/>
      <c r="M10" s="50"/>
      <c r="N10" s="33"/>
      <c r="O10" s="34"/>
      <c r="P10" s="34"/>
    </row>
    <row r="11" spans="2:16" ht="12.75">
      <c r="B11" s="32"/>
      <c r="C11" s="32"/>
      <c r="D11" s="34"/>
      <c r="E11" s="34"/>
      <c r="F11" s="29"/>
      <c r="G11" s="29"/>
      <c r="H11" s="33"/>
      <c r="I11" s="34"/>
      <c r="J11" s="34"/>
      <c r="L11" s="33"/>
      <c r="M11" s="50"/>
      <c r="N11" s="33"/>
      <c r="O11" s="34"/>
      <c r="P11" s="34"/>
    </row>
    <row r="12" spans="2:16" ht="12.75">
      <c r="B12" s="32"/>
      <c r="C12" s="32"/>
      <c r="D12" s="34"/>
      <c r="E12" s="34"/>
      <c r="F12" s="29"/>
      <c r="G12" s="29"/>
      <c r="H12" s="33"/>
      <c r="I12" s="34"/>
      <c r="J12" s="34"/>
      <c r="L12" s="33"/>
      <c r="M12" s="50"/>
      <c r="N12" s="33"/>
      <c r="O12" s="34"/>
      <c r="P12" s="34"/>
    </row>
    <row r="13" spans="2:16" ht="12.75" customHeight="1">
      <c r="B13" s="32"/>
      <c r="C13" s="32"/>
      <c r="D13" s="34"/>
      <c r="E13" s="34"/>
      <c r="F13" s="29"/>
      <c r="G13" s="29"/>
      <c r="H13" s="33"/>
      <c r="I13" s="34"/>
      <c r="J13" s="34"/>
      <c r="L13" s="33"/>
      <c r="M13" s="50"/>
      <c r="N13" s="33"/>
      <c r="O13" s="34"/>
      <c r="P13" s="34"/>
    </row>
    <row r="14" spans="3:16" ht="12.75">
      <c r="C14" s="32"/>
      <c r="D14" s="34"/>
      <c r="E14" s="34"/>
      <c r="F14" s="29"/>
      <c r="G14" s="29"/>
      <c r="H14" s="33"/>
      <c r="I14" s="34"/>
      <c r="J14" s="34"/>
      <c r="L14" s="33"/>
      <c r="M14" s="50"/>
      <c r="N14" s="33"/>
      <c r="O14" s="34"/>
      <c r="P14" s="34"/>
    </row>
    <row r="15" spans="3:16" ht="12.75">
      <c r="C15" s="32"/>
      <c r="D15" s="34"/>
      <c r="E15" s="34"/>
      <c r="F15" s="29"/>
      <c r="G15" s="29"/>
      <c r="H15" s="33"/>
      <c r="I15" s="34"/>
      <c r="J15" s="34"/>
      <c r="L15" s="33"/>
      <c r="M15" s="50"/>
      <c r="N15" s="33"/>
      <c r="O15" s="34"/>
      <c r="P15" s="34"/>
    </row>
    <row r="16" spans="3:16" ht="12.75">
      <c r="C16" s="32"/>
      <c r="D16" s="34"/>
      <c r="E16" s="34"/>
      <c r="F16" s="29"/>
      <c r="G16" s="29"/>
      <c r="H16" s="33"/>
      <c r="I16" s="34"/>
      <c r="J16" s="34"/>
      <c r="L16" s="33"/>
      <c r="M16" s="50"/>
      <c r="N16" s="33"/>
      <c r="O16" s="34"/>
      <c r="P16" s="34"/>
    </row>
    <row r="17" spans="3:16" ht="12.75">
      <c r="C17" s="32"/>
      <c r="D17" s="34"/>
      <c r="E17" s="34"/>
      <c r="F17" s="29"/>
      <c r="G17" s="29"/>
      <c r="H17" s="33"/>
      <c r="I17" s="34"/>
      <c r="J17" s="34"/>
      <c r="L17" s="33"/>
      <c r="M17" s="50"/>
      <c r="N17" s="33"/>
      <c r="O17" s="34"/>
      <c r="P17" s="34"/>
    </row>
    <row r="18" spans="3:16" ht="12.75">
      <c r="C18" s="32"/>
      <c r="D18" s="83"/>
      <c r="E18" s="83"/>
      <c r="F18" s="29"/>
      <c r="G18" s="29"/>
      <c r="H18" s="33"/>
      <c r="I18" s="34"/>
      <c r="J18" s="34"/>
      <c r="L18" s="33"/>
      <c r="M18" s="50"/>
      <c r="N18" s="33"/>
      <c r="O18" s="34"/>
      <c r="P18" s="34"/>
    </row>
    <row r="19" spans="1:16" ht="12.75">
      <c r="A19" s="84"/>
      <c r="B19" s="83"/>
      <c r="C19" s="83"/>
      <c r="D19" s="85"/>
      <c r="E19" s="8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2.7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2.75">
      <c r="A21" s="84"/>
      <c r="B21" s="85"/>
      <c r="C21" s="85"/>
      <c r="D21" s="43"/>
      <c r="E21" s="3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0" ht="12.75">
      <c r="A22" s="30"/>
      <c r="B22" s="30"/>
      <c r="C22" s="82"/>
      <c r="D22" s="46"/>
      <c r="E22" s="1"/>
      <c r="F22" s="30"/>
      <c r="G22" s="44"/>
      <c r="H22" s="33"/>
      <c r="I22" s="32">
        <v>1.1088664421997756</v>
      </c>
      <c r="J22" s="34"/>
    </row>
    <row r="23" spans="1:10" ht="12.75">
      <c r="A23" s="32"/>
      <c r="B23" s="32"/>
      <c r="C23" s="45"/>
      <c r="D23" s="46"/>
      <c r="E23" s="1"/>
      <c r="F23" s="11"/>
      <c r="G23" s="47"/>
      <c r="H23" s="33"/>
      <c r="I23" s="32"/>
      <c r="J23" s="34"/>
    </row>
    <row r="24" spans="1:10" ht="12.75">
      <c r="A24" s="32"/>
      <c r="B24" s="32"/>
      <c r="C24" s="45"/>
      <c r="D24" s="46"/>
      <c r="E24" s="1"/>
      <c r="F24" s="11"/>
      <c r="G24" s="47"/>
      <c r="H24" s="33"/>
      <c r="I24" s="32"/>
      <c r="J24" s="34"/>
    </row>
    <row r="25" spans="1:10" ht="12.75">
      <c r="A25" s="1"/>
      <c r="B25" s="1"/>
      <c r="C25" s="48"/>
      <c r="F25" s="49"/>
      <c r="G25" s="47"/>
      <c r="H25" s="33"/>
      <c r="I25" s="32"/>
      <c r="J25" s="34"/>
    </row>
    <row r="26" spans="4:10" ht="12.75">
      <c r="D26" s="41"/>
      <c r="E26" s="34"/>
      <c r="H26" s="33"/>
      <c r="I26" s="32"/>
      <c r="J26" s="34"/>
    </row>
    <row r="27" spans="1:10" ht="12.75">
      <c r="A27" s="37"/>
      <c r="B27" s="39"/>
      <c r="C27" s="39"/>
      <c r="D27" s="42"/>
      <c r="E27" s="34"/>
      <c r="F27" s="32"/>
      <c r="G27" s="34"/>
      <c r="H27" s="33"/>
      <c r="I27" s="32"/>
      <c r="J27" s="34"/>
    </row>
    <row r="28" spans="1:10" ht="12.75">
      <c r="A28" s="37"/>
      <c r="B28" s="42"/>
      <c r="C28" s="42"/>
      <c r="D28" s="42"/>
      <c r="E28" s="34"/>
      <c r="F28" s="35"/>
      <c r="G28" s="34"/>
      <c r="H28" s="36"/>
      <c r="I28" s="35"/>
      <c r="J28" s="34"/>
    </row>
    <row r="29" spans="1:10" ht="12.75">
      <c r="A29" s="37"/>
      <c r="B29" s="42"/>
      <c r="C29" s="42"/>
      <c r="D29" s="32"/>
      <c r="E29" s="32"/>
      <c r="F29" s="35"/>
      <c r="G29" s="34"/>
      <c r="H29" s="36"/>
      <c r="I29" s="35"/>
      <c r="J29" s="34"/>
    </row>
    <row r="30" spans="1:12" ht="12.75">
      <c r="A30" s="37"/>
      <c r="B30" s="32"/>
      <c r="C30" s="32"/>
      <c r="F30" s="32"/>
      <c r="G30" s="32"/>
      <c r="H30" s="31"/>
      <c r="I30" s="32"/>
      <c r="J30" s="32"/>
      <c r="L30">
        <f>270/1028</f>
        <v>0.26264591439688717</v>
      </c>
    </row>
    <row r="31" spans="1:10" ht="12.75">
      <c r="A31" s="4"/>
      <c r="J31" s="1"/>
    </row>
  </sheetData>
  <sheetProtection/>
  <mergeCells count="4">
    <mergeCell ref="D1:E1"/>
    <mergeCell ref="F1:G1"/>
    <mergeCell ref="A3:A5"/>
    <mergeCell ref="A6:A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1"/>
  <sheetViews>
    <sheetView zoomScalePageLayoutView="0" workbookViewId="0" topLeftCell="A1">
      <selection activeCell="H10" sqref="H10"/>
    </sheetView>
  </sheetViews>
  <sheetFormatPr defaultColWidth="9.140625" defaultRowHeight="12.75"/>
  <cols>
    <col min="8" max="8" width="15.7109375" style="0" customWidth="1"/>
  </cols>
  <sheetData>
    <row r="3" spans="1:6" ht="12.75">
      <c r="A3" s="4" t="s">
        <v>128</v>
      </c>
      <c r="B3" s="4"/>
      <c r="C3" s="4"/>
      <c r="E3">
        <v>437987</v>
      </c>
      <c r="F3" s="53" t="s">
        <v>108</v>
      </c>
    </row>
    <row r="4" spans="1:6" ht="12.75">
      <c r="A4" s="4" t="s">
        <v>129</v>
      </c>
      <c r="B4" s="4"/>
      <c r="C4" s="4"/>
      <c r="E4">
        <v>474150</v>
      </c>
      <c r="F4" s="53" t="s">
        <v>110</v>
      </c>
    </row>
    <row r="7" spans="3:8" ht="12.75">
      <c r="C7" s="101" t="s">
        <v>130</v>
      </c>
      <c r="D7" s="101"/>
      <c r="E7" s="101"/>
      <c r="F7" s="101"/>
      <c r="G7" s="101"/>
      <c r="H7" s="101"/>
    </row>
    <row r="8" spans="5:8" ht="25.5">
      <c r="E8" s="4" t="s">
        <v>112</v>
      </c>
      <c r="F8" s="4"/>
      <c r="H8" s="77" t="s">
        <v>113</v>
      </c>
    </row>
    <row r="9" spans="5:13" ht="12.75">
      <c r="E9" s="2" t="s">
        <v>114</v>
      </c>
      <c r="F9" s="2" t="s">
        <v>131</v>
      </c>
      <c r="G9" s="78"/>
      <c r="H9" s="78" t="s">
        <v>131</v>
      </c>
      <c r="L9" s="1"/>
      <c r="M9" s="1"/>
    </row>
    <row r="10" spans="3:13" ht="12.75">
      <c r="C10" s="103" t="s">
        <v>54</v>
      </c>
      <c r="D10" t="s">
        <v>115</v>
      </c>
      <c r="E10" s="1">
        <v>10249</v>
      </c>
      <c r="F10" s="1">
        <v>5111.6730707</v>
      </c>
      <c r="H10" s="1">
        <f>+$E$4*F10/($E$3)</f>
        <v>5533.725399320996</v>
      </c>
      <c r="L10" s="1"/>
      <c r="M10" s="1"/>
    </row>
    <row r="11" spans="3:13" ht="12.75">
      <c r="C11" s="102"/>
      <c r="D11" t="s">
        <v>116</v>
      </c>
      <c r="E11" s="1">
        <v>21567</v>
      </c>
      <c r="F11" s="1">
        <v>10233.314799</v>
      </c>
      <c r="H11" s="1">
        <f aca="true" t="shared" si="0" ref="H11:H25">+$E$4*F11/($E$3)</f>
        <v>11078.242532188968</v>
      </c>
      <c r="L11" s="1"/>
      <c r="M11" s="1"/>
    </row>
    <row r="12" spans="3:13" ht="12.75">
      <c r="C12" s="102"/>
      <c r="D12" t="s">
        <v>117</v>
      </c>
      <c r="E12" s="1">
        <v>22246</v>
      </c>
      <c r="F12" s="1">
        <v>9407.8807215</v>
      </c>
      <c r="H12" s="1">
        <f t="shared" si="0"/>
        <v>10184.65535301099</v>
      </c>
      <c r="L12" s="1"/>
      <c r="M12" s="1"/>
    </row>
    <row r="13" spans="3:13" ht="12.75">
      <c r="C13" s="102"/>
      <c r="D13" t="s">
        <v>118</v>
      </c>
      <c r="E13" s="1">
        <v>19312</v>
      </c>
      <c r="F13" s="1">
        <v>7662.5405831</v>
      </c>
      <c r="H13" s="1">
        <f t="shared" si="0"/>
        <v>8295.208801806595</v>
      </c>
      <c r="L13" s="1"/>
      <c r="M13" s="1"/>
    </row>
    <row r="14" spans="3:13" ht="12.75">
      <c r="C14" s="102"/>
      <c r="D14" t="s">
        <v>119</v>
      </c>
      <c r="E14" s="1">
        <v>19714</v>
      </c>
      <c r="F14" s="1">
        <v>7706.7101338</v>
      </c>
      <c r="H14" s="1">
        <f t="shared" si="0"/>
        <v>8343.025272305502</v>
      </c>
      <c r="L14" s="1"/>
      <c r="M14" s="1"/>
    </row>
    <row r="15" spans="3:13" ht="12.75">
      <c r="C15" s="102"/>
      <c r="D15" t="s">
        <v>120</v>
      </c>
      <c r="E15" s="1">
        <v>29188</v>
      </c>
      <c r="F15" s="1">
        <v>11001.802223</v>
      </c>
      <c r="H15" s="1">
        <f t="shared" si="0"/>
        <v>11910.181178974375</v>
      </c>
      <c r="L15" s="1"/>
      <c r="M15" s="1"/>
    </row>
    <row r="16" spans="3:13" ht="12.75">
      <c r="C16" s="102"/>
      <c r="D16" t="s">
        <v>121</v>
      </c>
      <c r="E16" s="1">
        <v>14864</v>
      </c>
      <c r="F16" s="1">
        <v>4906.9692854</v>
      </c>
      <c r="H16" s="1">
        <f t="shared" si="0"/>
        <v>5312.119963999868</v>
      </c>
      <c r="L16" s="1"/>
      <c r="M16" s="1"/>
    </row>
    <row r="17" spans="3:8" ht="12.75">
      <c r="C17" s="102"/>
      <c r="D17" t="s">
        <v>122</v>
      </c>
      <c r="E17" s="1">
        <v>12551</v>
      </c>
      <c r="F17" s="1">
        <v>3159.3632099</v>
      </c>
      <c r="H17" s="1">
        <f t="shared" si="0"/>
        <v>3420.220385477389</v>
      </c>
    </row>
    <row r="18" spans="3:8" ht="12.75">
      <c r="C18" s="102" t="s">
        <v>55</v>
      </c>
      <c r="D18" t="s">
        <v>115</v>
      </c>
      <c r="E18" s="1">
        <v>11180</v>
      </c>
      <c r="F18" s="1">
        <v>4524.8287411</v>
      </c>
      <c r="H18" s="1">
        <f t="shared" si="0"/>
        <v>4898.427459245514</v>
      </c>
    </row>
    <row r="19" spans="3:8" ht="12.75">
      <c r="C19" s="102"/>
      <c r="D19" t="s">
        <v>116</v>
      </c>
      <c r="E19" s="1">
        <v>29091</v>
      </c>
      <c r="F19" s="1">
        <v>11953.355858</v>
      </c>
      <c r="H19" s="1">
        <f t="shared" si="0"/>
        <v>12940.301150652189</v>
      </c>
    </row>
    <row r="20" spans="3:8" ht="12.75">
      <c r="C20" s="102"/>
      <c r="D20" t="s">
        <v>117</v>
      </c>
      <c r="E20" s="1">
        <v>40146</v>
      </c>
      <c r="F20" s="1">
        <v>15656.411617</v>
      </c>
      <c r="H20" s="1">
        <f t="shared" si="0"/>
        <v>16949.104809504734</v>
      </c>
    </row>
    <row r="21" spans="3:8" ht="12.75">
      <c r="C21" s="102"/>
      <c r="D21" t="s">
        <v>118</v>
      </c>
      <c r="E21" s="1">
        <v>35580</v>
      </c>
      <c r="F21" s="1">
        <v>13533.597283</v>
      </c>
      <c r="H21" s="1">
        <f t="shared" si="0"/>
        <v>14651.017385754485</v>
      </c>
    </row>
    <row r="22" spans="3:8" ht="12.75">
      <c r="C22" s="102"/>
      <c r="D22" t="s">
        <v>119</v>
      </c>
      <c r="E22" s="1">
        <v>38737</v>
      </c>
      <c r="F22" s="1">
        <v>14920.062982</v>
      </c>
      <c r="H22" s="1">
        <f t="shared" si="0"/>
        <v>16151.958535105607</v>
      </c>
    </row>
    <row r="23" spans="3:8" ht="12.75">
      <c r="C23" s="102"/>
      <c r="D23" t="s">
        <v>120</v>
      </c>
      <c r="E23" s="1">
        <v>67362</v>
      </c>
      <c r="F23" s="1">
        <v>25061.649441</v>
      </c>
      <c r="H23" s="1">
        <f t="shared" si="0"/>
        <v>27130.899050542943</v>
      </c>
    </row>
    <row r="24" spans="3:8" ht="12.75">
      <c r="C24" s="102"/>
      <c r="D24" t="s">
        <v>121</v>
      </c>
      <c r="E24" s="1">
        <v>28154</v>
      </c>
      <c r="F24" s="1">
        <v>9055.4122477</v>
      </c>
      <c r="H24" s="1">
        <f t="shared" si="0"/>
        <v>9803.08483413196</v>
      </c>
    </row>
    <row r="25" spans="3:8" ht="12.75">
      <c r="C25" s="102"/>
      <c r="D25" t="s">
        <v>122</v>
      </c>
      <c r="E25" s="1">
        <v>18652</v>
      </c>
      <c r="F25" s="1">
        <v>4105.1260062</v>
      </c>
      <c r="H25" s="1">
        <f t="shared" si="0"/>
        <v>4444.071389880818</v>
      </c>
    </row>
    <row r="26" spans="3:8" ht="12.75">
      <c r="C26" s="4" t="s">
        <v>123</v>
      </c>
      <c r="D26" s="4"/>
      <c r="E26" s="84">
        <f>SUM(E10:E17)</f>
        <v>149691</v>
      </c>
      <c r="F26" s="84">
        <f>SUM(F10:F17)</f>
        <v>59190.254026400005</v>
      </c>
      <c r="G26" s="84"/>
      <c r="H26" s="84">
        <f>SUM(H10:H17)</f>
        <v>64077.37888708468</v>
      </c>
    </row>
    <row r="27" spans="3:8" ht="12.75">
      <c r="C27" s="4" t="s">
        <v>124</v>
      </c>
      <c r="D27" s="4"/>
      <c r="E27" s="84">
        <f>SUM(E18:E25)</f>
        <v>268902</v>
      </c>
      <c r="F27" s="84">
        <f>SUM(F18:F25)</f>
        <v>98810.44417600002</v>
      </c>
      <c r="G27" s="84"/>
      <c r="H27" s="84">
        <f>SUM(H18:H25)</f>
        <v>106968.86461481825</v>
      </c>
    </row>
    <row r="28" spans="3:8" ht="12.75">
      <c r="C28" s="4" t="s">
        <v>0</v>
      </c>
      <c r="D28" s="4"/>
      <c r="E28" s="84">
        <f>SUM(E10:E25)</f>
        <v>418593</v>
      </c>
      <c r="F28" s="84">
        <f>SUM(F10:F25)</f>
        <v>158000.6982024</v>
      </c>
      <c r="G28" s="84"/>
      <c r="H28" s="84">
        <f>SUM(H10:H25)</f>
        <v>171046.24350190294</v>
      </c>
    </row>
    <row r="29" spans="5:7" ht="12.75">
      <c r="E29" s="1"/>
      <c r="G29" s="53" t="s">
        <v>101</v>
      </c>
    </row>
    <row r="50" ht="12.75">
      <c r="E50" s="1"/>
    </row>
    <row r="51" ht="12.75">
      <c r="E51" s="1"/>
    </row>
  </sheetData>
  <sheetProtection/>
  <mergeCells count="3">
    <mergeCell ref="C7:H7"/>
    <mergeCell ref="C10:C17"/>
    <mergeCell ref="C18:C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8"/>
  <sheetViews>
    <sheetView zoomScalePageLayoutView="0" workbookViewId="0" topLeftCell="A1">
      <selection activeCell="J23" sqref="J23"/>
    </sheetView>
  </sheetViews>
  <sheetFormatPr defaultColWidth="9.140625" defaultRowHeight="12.75"/>
  <cols>
    <col min="2" max="2" width="11.7109375" style="0" customWidth="1"/>
  </cols>
  <sheetData>
    <row r="1" spans="1:15" ht="12.75">
      <c r="A1" s="59" t="s">
        <v>90</v>
      </c>
      <c r="B1" s="59"/>
      <c r="C1" s="59"/>
      <c r="E1" s="62" t="s">
        <v>91</v>
      </c>
      <c r="F1" s="62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60" t="s">
        <v>92</v>
      </c>
      <c r="B2" s="60" t="s">
        <v>93</v>
      </c>
      <c r="C2" s="60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2.75">
      <c r="A3" s="60"/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2.75">
      <c r="A4" s="76" t="s">
        <v>102</v>
      </c>
      <c r="B4" s="60"/>
      <c r="C4" s="60"/>
      <c r="D4" s="61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2.75">
      <c r="A5" s="60"/>
      <c r="B5" s="60"/>
      <c r="C5" s="60"/>
      <c r="D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2.75">
      <c r="A6" s="60"/>
      <c r="B6" s="63" t="s">
        <v>13</v>
      </c>
      <c r="C6" s="63"/>
      <c r="D6" s="64">
        <v>2008</v>
      </c>
      <c r="E6" s="64">
        <v>2011</v>
      </c>
      <c r="F6" s="64">
        <v>2021</v>
      </c>
      <c r="G6" s="64">
        <v>2029</v>
      </c>
      <c r="H6" s="60"/>
      <c r="I6" s="60"/>
      <c r="J6" s="60"/>
      <c r="K6" s="60"/>
      <c r="L6" s="60"/>
      <c r="M6" s="60"/>
      <c r="N6" s="60"/>
      <c r="O6" s="60"/>
    </row>
    <row r="7" spans="2:15" ht="12.75">
      <c r="B7" s="67"/>
      <c r="C7" s="67"/>
      <c r="D7" s="66"/>
      <c r="E7" s="66"/>
      <c r="F7" s="66"/>
      <c r="G7" s="66"/>
      <c r="H7" s="60"/>
      <c r="I7" s="60"/>
      <c r="J7" s="60"/>
      <c r="K7" s="60"/>
      <c r="L7" s="60"/>
      <c r="M7" s="60"/>
      <c r="N7" s="60"/>
      <c r="O7" s="60"/>
    </row>
    <row r="8" spans="1:15" ht="12.75">
      <c r="A8" s="104" t="s">
        <v>54</v>
      </c>
      <c r="B8" s="74" t="s">
        <v>59</v>
      </c>
      <c r="C8" s="67"/>
      <c r="D8" s="66">
        <f>SUM(D32:D34)</f>
        <v>1064.6</v>
      </c>
      <c r="E8" s="66">
        <f>SUM(E32:E34)</f>
        <v>1078.5</v>
      </c>
      <c r="F8" s="66">
        <f>SUM(F32:F34)</f>
        <v>927.2</v>
      </c>
      <c r="G8" s="66">
        <f>SUM(G32:G34)</f>
        <v>1085.5</v>
      </c>
      <c r="H8" s="60"/>
      <c r="I8" s="60"/>
      <c r="J8" s="60"/>
      <c r="K8" s="60"/>
      <c r="L8" s="60"/>
      <c r="M8" s="60"/>
      <c r="N8" s="60"/>
      <c r="O8" s="60"/>
    </row>
    <row r="9" spans="1:15" ht="12.75">
      <c r="A9" s="104"/>
      <c r="B9" s="74" t="s">
        <v>56</v>
      </c>
      <c r="C9" s="67"/>
      <c r="D9" s="66">
        <f>SUM(D35:D38)</f>
        <v>1427.1</v>
      </c>
      <c r="E9" s="66">
        <f>SUM(E35:E38)</f>
        <v>1512.1000000000001</v>
      </c>
      <c r="F9" s="66">
        <f>SUM(F35:F38)</f>
        <v>1414.5</v>
      </c>
      <c r="G9" s="66">
        <f>SUM(G35:G38)</f>
        <v>1461.9</v>
      </c>
      <c r="H9" s="60"/>
      <c r="I9" s="60"/>
      <c r="J9" s="60"/>
      <c r="K9" s="60"/>
      <c r="L9" s="60"/>
      <c r="M9" s="60"/>
      <c r="N9" s="60"/>
      <c r="O9" s="60"/>
    </row>
    <row r="10" spans="1:15" ht="12.75">
      <c r="A10" s="104"/>
      <c r="B10" s="74" t="s">
        <v>57</v>
      </c>
      <c r="C10" s="60"/>
      <c r="D10" s="66">
        <f>SUM(D39:D43)</f>
        <v>1702.3999999999999</v>
      </c>
      <c r="E10" s="66">
        <f>SUM(E39:E43)</f>
        <v>1872.2999999999997</v>
      </c>
      <c r="F10" s="66">
        <f>SUM(F39:F43)</f>
        <v>2009.8</v>
      </c>
      <c r="G10" s="66">
        <f>SUM(G39:G43)</f>
        <v>1841.6</v>
      </c>
      <c r="H10" s="60"/>
      <c r="I10" s="60"/>
      <c r="J10" s="60"/>
      <c r="K10" s="60"/>
      <c r="L10" s="60"/>
      <c r="M10" s="60"/>
      <c r="N10" s="60"/>
      <c r="O10" s="60"/>
    </row>
    <row r="11" spans="1:15" ht="12.75">
      <c r="A11" s="104"/>
      <c r="B11" s="75" t="s">
        <v>62</v>
      </c>
      <c r="D11" s="52">
        <f>SUM(D44:D48)</f>
        <v>1656.7999999999997</v>
      </c>
      <c r="E11" s="52">
        <f>SUM(E44:E48)</f>
        <v>1667.8</v>
      </c>
      <c r="F11" s="52">
        <f>SUM(F44:F48)</f>
        <v>2098.1</v>
      </c>
      <c r="G11" s="52">
        <f>SUM(G44:G48)</f>
        <v>1994.3999999999996</v>
      </c>
      <c r="H11" s="60"/>
      <c r="I11" s="60"/>
      <c r="J11" s="60"/>
      <c r="K11" s="60"/>
      <c r="L11" s="60"/>
      <c r="M11" s="60"/>
      <c r="N11" s="60"/>
      <c r="O11" s="60"/>
    </row>
    <row r="12" spans="1:15" ht="12.75">
      <c r="A12" s="104"/>
      <c r="B12" s="75" t="s">
        <v>97</v>
      </c>
      <c r="D12" s="52">
        <f>SUM(D49:D53)</f>
        <v>1896</v>
      </c>
      <c r="E12" s="52">
        <f>SUM(E49:E53)</f>
        <v>1774.8</v>
      </c>
      <c r="F12" s="52">
        <f>SUM(F49:F53)</f>
        <v>1937.1</v>
      </c>
      <c r="G12" s="52">
        <f>SUM(G49:G53)</f>
        <v>2115.6</v>
      </c>
      <c r="H12" s="60"/>
      <c r="I12" s="60"/>
      <c r="J12" s="60"/>
      <c r="K12" s="60"/>
      <c r="L12" s="60"/>
      <c r="M12" s="60"/>
      <c r="N12" s="60"/>
      <c r="O12" s="60"/>
    </row>
    <row r="13" spans="1:15" ht="12.75">
      <c r="A13" s="104"/>
      <c r="B13" s="75" t="s">
        <v>98</v>
      </c>
      <c r="D13" s="52">
        <f>SUM(D54:D63)</f>
        <v>3733.1</v>
      </c>
      <c r="E13" s="52">
        <f>SUM(E54:E63)</f>
        <v>3838.2000000000003</v>
      </c>
      <c r="F13" s="52">
        <f>SUM(F54:F63)</f>
        <v>3432.7999999999997</v>
      </c>
      <c r="G13" s="52">
        <f>SUM(G54:G63)</f>
        <v>3879.7</v>
      </c>
      <c r="H13" s="60"/>
      <c r="I13" s="60"/>
      <c r="J13" s="60"/>
      <c r="K13" s="60"/>
      <c r="L13" s="60"/>
      <c r="M13" s="60"/>
      <c r="N13" s="60"/>
      <c r="O13" s="60"/>
    </row>
    <row r="14" spans="1:15" ht="12.75">
      <c r="A14" s="104"/>
      <c r="B14" s="75" t="s">
        <v>99</v>
      </c>
      <c r="D14" s="52">
        <f>SUM(D64:D73)</f>
        <v>3066.7000000000003</v>
      </c>
      <c r="E14" s="52">
        <f>SUM(E64:E73)</f>
        <v>3107</v>
      </c>
      <c r="F14" s="52">
        <f>SUM(F64:F73)</f>
        <v>3688.2000000000003</v>
      </c>
      <c r="G14" s="52">
        <f>SUM(G64:G73)</f>
        <v>3353.3</v>
      </c>
      <c r="H14" s="60"/>
      <c r="I14" s="60"/>
      <c r="J14" s="60"/>
      <c r="K14" s="60"/>
      <c r="L14" s="60"/>
      <c r="M14" s="60"/>
      <c r="N14" s="60"/>
      <c r="O14" s="60"/>
    </row>
    <row r="15" spans="1:15" ht="12.75">
      <c r="A15" s="104"/>
      <c r="B15" s="75" t="s">
        <v>100</v>
      </c>
      <c r="D15" s="52">
        <f>+SUM(D74:D99)</f>
        <v>4989.1</v>
      </c>
      <c r="E15" s="52">
        <f>+SUM(E74:E99)</f>
        <v>5333.999999999999</v>
      </c>
      <c r="F15" s="52">
        <f>+SUM(F74:F99)</f>
        <v>6376.9</v>
      </c>
      <c r="G15" s="52">
        <f>+SUM(G74:G99)</f>
        <v>7501.700000000001</v>
      </c>
      <c r="H15" s="60"/>
      <c r="I15" s="60"/>
      <c r="J15" s="60"/>
      <c r="K15" s="60"/>
      <c r="L15" s="60"/>
      <c r="M15" s="60"/>
      <c r="N15" s="60"/>
      <c r="O15" s="60"/>
    </row>
    <row r="16" spans="1:15" ht="12.75">
      <c r="A16" s="105" t="s">
        <v>55</v>
      </c>
      <c r="B16" s="74" t="s">
        <v>59</v>
      </c>
      <c r="C16" s="67"/>
      <c r="D16" s="66">
        <f>SUM(M32:M34)</f>
        <v>995.6</v>
      </c>
      <c r="E16" s="66">
        <f>SUM(N32:N34)</f>
        <v>1006.8000000000001</v>
      </c>
      <c r="F16" s="66">
        <f>SUM(O32:O34)</f>
        <v>863.6999999999999</v>
      </c>
      <c r="G16" s="66">
        <f>SUM(P32:P34)</f>
        <v>1018.7</v>
      </c>
      <c r="H16" s="60"/>
      <c r="I16" s="60"/>
      <c r="J16" s="60"/>
      <c r="K16" s="60"/>
      <c r="L16" s="60"/>
      <c r="M16" s="60"/>
      <c r="N16" s="60"/>
      <c r="O16" s="60"/>
    </row>
    <row r="17" spans="1:15" ht="12.75">
      <c r="A17" s="106"/>
      <c r="B17" s="74" t="s">
        <v>56</v>
      </c>
      <c r="C17" s="67"/>
      <c r="D17" s="66">
        <f>SUM(M35:M38)</f>
        <v>1374.8000000000002</v>
      </c>
      <c r="E17" s="66">
        <f>SUM(N35:N38)</f>
        <v>1442.6999999999998</v>
      </c>
      <c r="F17" s="66">
        <f>SUM(O35:O38)</f>
        <v>1339.3</v>
      </c>
      <c r="G17" s="66">
        <f>SUM(P35:P38)</f>
        <v>1387.8000000000002</v>
      </c>
      <c r="H17" s="60"/>
      <c r="I17" s="60"/>
      <c r="J17" s="60"/>
      <c r="K17" s="60"/>
      <c r="L17" s="60"/>
      <c r="M17" s="60"/>
      <c r="N17" s="60"/>
      <c r="O17" s="60"/>
    </row>
    <row r="18" spans="1:15" ht="12.75">
      <c r="A18" s="106"/>
      <c r="B18" s="74" t="s">
        <v>57</v>
      </c>
      <c r="C18" s="60"/>
      <c r="D18" s="66">
        <f>SUM(M39:M43)</f>
        <v>1696.6</v>
      </c>
      <c r="E18" s="66">
        <f>SUM(N39:N43)</f>
        <v>1830.6000000000001</v>
      </c>
      <c r="F18" s="66">
        <f>SUM(O39:O43)</f>
        <v>1921</v>
      </c>
      <c r="G18" s="66">
        <f>SUM(P39:P43)</f>
        <v>1762.1</v>
      </c>
      <c r="H18" s="60"/>
      <c r="I18" s="60"/>
      <c r="J18" s="60"/>
      <c r="K18" s="60"/>
      <c r="L18" s="60"/>
      <c r="M18" s="60"/>
      <c r="N18" s="60"/>
      <c r="O18" s="60"/>
    </row>
    <row r="19" spans="1:15" ht="12.75">
      <c r="A19" s="106"/>
      <c r="B19" s="75" t="s">
        <v>62</v>
      </c>
      <c r="C19" s="60"/>
      <c r="D19" s="52">
        <f>SUM(M44:M48)</f>
        <v>1659</v>
      </c>
      <c r="E19" s="52">
        <f>SUM(N44:N48)</f>
        <v>1678.7</v>
      </c>
      <c r="F19" s="52">
        <f>SUM(O44:O48)</f>
        <v>2036.5</v>
      </c>
      <c r="G19" s="52">
        <f>SUM(P44:P48)</f>
        <v>1924.6999999999998</v>
      </c>
      <c r="H19" s="60"/>
      <c r="I19" s="60"/>
      <c r="J19" s="60"/>
      <c r="K19" s="60"/>
      <c r="L19" s="60"/>
      <c r="M19" s="60"/>
      <c r="N19" s="60"/>
      <c r="O19" s="60"/>
    </row>
    <row r="20" spans="1:15" ht="12.75">
      <c r="A20" s="106"/>
      <c r="B20" s="53" t="s">
        <v>97</v>
      </c>
      <c r="C20" s="60"/>
      <c r="D20" s="52">
        <f>SUM(M49:M53)</f>
        <v>1916.8000000000002</v>
      </c>
      <c r="E20" s="52">
        <f>SUM(N49:N53)</f>
        <v>1790.1999999999998</v>
      </c>
      <c r="F20" s="52">
        <f>SUM(O49:O53)</f>
        <v>1914.6</v>
      </c>
      <c r="G20" s="52">
        <f>SUM(P49:P53)</f>
        <v>2047.4999999999998</v>
      </c>
      <c r="H20" s="60"/>
      <c r="I20" s="60"/>
      <c r="J20" s="60"/>
      <c r="K20" s="60"/>
      <c r="L20" s="60"/>
      <c r="M20" s="60"/>
      <c r="N20" s="60"/>
      <c r="O20" s="60"/>
    </row>
    <row r="21" spans="1:15" ht="12.75">
      <c r="A21" s="106"/>
      <c r="B21" s="53" t="s">
        <v>98</v>
      </c>
      <c r="C21" s="60"/>
      <c r="D21" s="52">
        <f>SUM(M54:M63)</f>
        <v>3782</v>
      </c>
      <c r="E21" s="52">
        <f>SUM(N54:N63)</f>
        <v>3888.0000000000005</v>
      </c>
      <c r="F21" s="52">
        <f>SUM(O54:O63)</f>
        <v>3468.9999999999995</v>
      </c>
      <c r="G21" s="52">
        <f>SUM(P54:P63)</f>
        <v>3840.2999999999993</v>
      </c>
      <c r="H21" s="60"/>
      <c r="I21" s="60"/>
      <c r="J21" s="60"/>
      <c r="K21" s="60"/>
      <c r="L21" s="60"/>
      <c r="M21" s="60"/>
      <c r="N21" s="60"/>
      <c r="O21" s="60"/>
    </row>
    <row r="22" spans="1:15" ht="12.75">
      <c r="A22" s="106"/>
      <c r="B22" s="53" t="s">
        <v>99</v>
      </c>
      <c r="C22" s="60"/>
      <c r="D22" s="52">
        <f>SUM(M64:M73)</f>
        <v>3143.9999999999995</v>
      </c>
      <c r="E22" s="52">
        <f>SUM(N64:N73)</f>
        <v>3176.6</v>
      </c>
      <c r="F22" s="52">
        <f>SUM(O64:O73)</f>
        <v>3780.8</v>
      </c>
      <c r="G22" s="52">
        <f>SUM(P64:P73)</f>
        <v>3427.3999999999996</v>
      </c>
      <c r="H22" s="60"/>
      <c r="I22" s="60"/>
      <c r="J22" s="60"/>
      <c r="K22" s="60"/>
      <c r="L22" s="60"/>
      <c r="M22" s="60"/>
      <c r="N22" s="60"/>
      <c r="O22" s="60"/>
    </row>
    <row r="23" spans="1:15" ht="12.75">
      <c r="A23" s="106"/>
      <c r="B23" s="53" t="s">
        <v>100</v>
      </c>
      <c r="C23" s="60"/>
      <c r="D23" s="52">
        <f>+SUM(M74:M99)</f>
        <v>6119.799999999998</v>
      </c>
      <c r="E23" s="52">
        <f>+SUM(N74:N99)</f>
        <v>6398.099999999999</v>
      </c>
      <c r="F23" s="52">
        <f>+SUM(O74:O99)</f>
        <v>7321.7</v>
      </c>
      <c r="G23" s="52">
        <f>+SUM(P74:P99)</f>
        <v>8519.4</v>
      </c>
      <c r="H23" s="60"/>
      <c r="I23" s="60"/>
      <c r="J23" s="60"/>
      <c r="K23" s="60"/>
      <c r="L23" s="60"/>
      <c r="M23" s="60"/>
      <c r="N23" s="60"/>
      <c r="O23" s="60"/>
    </row>
    <row r="24" spans="1:15" ht="12.75">
      <c r="A24" s="60"/>
      <c r="B24" s="60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2.75">
      <c r="A25" s="60"/>
      <c r="B25" s="60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2.75">
      <c r="A26" s="76" t="s">
        <v>126</v>
      </c>
      <c r="B26" s="60"/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12.75">
      <c r="A27" s="60"/>
      <c r="B27" s="60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ht="12.75">
      <c r="A28" s="63"/>
      <c r="B28" s="63" t="s">
        <v>13</v>
      </c>
      <c r="C28" s="63"/>
      <c r="D28" s="64">
        <v>2008</v>
      </c>
      <c r="E28" s="64">
        <v>2011</v>
      </c>
      <c r="F28" s="64">
        <v>2021</v>
      </c>
      <c r="G28" s="64">
        <v>2029</v>
      </c>
      <c r="H28" s="64"/>
      <c r="I28" s="64"/>
      <c r="J28" s="64"/>
      <c r="K28" s="64"/>
      <c r="L28" s="64"/>
      <c r="M28" s="64">
        <v>2008</v>
      </c>
      <c r="N28" s="64">
        <v>2011</v>
      </c>
      <c r="O28" s="64">
        <v>2021</v>
      </c>
      <c r="P28" s="64">
        <v>2029</v>
      </c>
    </row>
    <row r="29" spans="1:16" ht="12.75">
      <c r="A29" s="65" t="s">
        <v>94</v>
      </c>
      <c r="B29" s="65"/>
      <c r="C29" s="65"/>
      <c r="D29" s="60"/>
      <c r="E29" s="60"/>
      <c r="F29" s="60"/>
      <c r="G29" s="60"/>
      <c r="H29" s="60"/>
      <c r="I29" s="60"/>
      <c r="J29" s="65" t="s">
        <v>96</v>
      </c>
      <c r="K29" s="65"/>
      <c r="L29" s="65"/>
      <c r="M29" s="66"/>
      <c r="N29" s="66"/>
      <c r="O29" s="66"/>
      <c r="P29" s="66"/>
    </row>
    <row r="30" spans="1:16" ht="12.75">
      <c r="A30" s="65"/>
      <c r="B30" s="65"/>
      <c r="C30" s="65"/>
      <c r="D30" s="60"/>
      <c r="E30" s="60"/>
      <c r="F30" s="60"/>
      <c r="G30" s="60"/>
      <c r="H30" s="60"/>
      <c r="I30" s="60"/>
      <c r="J30" s="65"/>
      <c r="K30" s="65"/>
      <c r="L30" s="65"/>
      <c r="M30" s="66"/>
      <c r="N30" s="66"/>
      <c r="O30" s="66"/>
      <c r="P30" s="66"/>
    </row>
    <row r="31" spans="1:16" ht="12.75">
      <c r="A31" s="65"/>
      <c r="B31" s="65"/>
      <c r="C31" s="65"/>
      <c r="D31" s="60"/>
      <c r="E31" s="60"/>
      <c r="F31" s="60"/>
      <c r="G31" s="60"/>
      <c r="H31" s="60"/>
      <c r="I31" s="60"/>
      <c r="J31" s="65"/>
      <c r="K31" s="69"/>
      <c r="L31" s="68"/>
      <c r="M31" s="66"/>
      <c r="N31" s="66"/>
      <c r="O31" s="66"/>
      <c r="P31" s="66"/>
    </row>
    <row r="32" spans="1:16" ht="12.75">
      <c r="A32" s="65"/>
      <c r="B32" s="70">
        <v>18</v>
      </c>
      <c r="C32" s="71"/>
      <c r="D32" s="72">
        <v>347.7</v>
      </c>
      <c r="E32" s="72">
        <v>348.2</v>
      </c>
      <c r="F32" s="72">
        <v>301.8</v>
      </c>
      <c r="G32" s="72">
        <v>359.2</v>
      </c>
      <c r="H32" s="60"/>
      <c r="I32" s="60"/>
      <c r="J32" s="65"/>
      <c r="K32" s="70">
        <v>18</v>
      </c>
      <c r="L32" s="71"/>
      <c r="M32" s="72">
        <v>326.6</v>
      </c>
      <c r="N32" s="72">
        <v>326.3</v>
      </c>
      <c r="O32" s="72">
        <v>281.5</v>
      </c>
      <c r="P32" s="72">
        <v>338.1</v>
      </c>
    </row>
    <row r="33" spans="1:16" ht="12.75">
      <c r="A33" s="65"/>
      <c r="B33" s="70">
        <v>19</v>
      </c>
      <c r="C33" s="71"/>
      <c r="D33" s="72">
        <v>359.2</v>
      </c>
      <c r="E33" s="72">
        <v>361.9</v>
      </c>
      <c r="F33" s="72">
        <v>305.9</v>
      </c>
      <c r="G33" s="72">
        <v>362</v>
      </c>
      <c r="H33" s="60"/>
      <c r="I33" s="60"/>
      <c r="J33" s="65"/>
      <c r="K33" s="70">
        <v>19</v>
      </c>
      <c r="L33" s="71"/>
      <c r="M33" s="72">
        <v>335.5</v>
      </c>
      <c r="N33" s="72">
        <v>337.1</v>
      </c>
      <c r="O33" s="72">
        <v>285.8</v>
      </c>
      <c r="P33" s="72">
        <v>339.6</v>
      </c>
    </row>
    <row r="34" spans="1:16" ht="12.75">
      <c r="A34" s="65"/>
      <c r="B34" s="70">
        <v>20</v>
      </c>
      <c r="C34" s="71"/>
      <c r="D34" s="72">
        <v>357.7</v>
      </c>
      <c r="E34" s="72">
        <v>368.4</v>
      </c>
      <c r="F34" s="72">
        <v>319.5</v>
      </c>
      <c r="G34" s="72">
        <v>364.3</v>
      </c>
      <c r="H34" s="60"/>
      <c r="I34" s="60"/>
      <c r="J34" s="65"/>
      <c r="K34" s="70">
        <v>20</v>
      </c>
      <c r="L34" s="71"/>
      <c r="M34" s="72">
        <v>333.5</v>
      </c>
      <c r="N34" s="72">
        <v>343.4</v>
      </c>
      <c r="O34" s="72">
        <v>296.4</v>
      </c>
      <c r="P34" s="72">
        <v>341</v>
      </c>
    </row>
    <row r="35" spans="1:16" ht="12.75">
      <c r="A35" s="65"/>
      <c r="B35" s="70">
        <v>21</v>
      </c>
      <c r="C35" s="71"/>
      <c r="D35" s="72">
        <v>353.2</v>
      </c>
      <c r="E35" s="72">
        <v>371</v>
      </c>
      <c r="F35" s="72">
        <v>335.3</v>
      </c>
      <c r="G35" s="72">
        <v>370.4</v>
      </c>
      <c r="H35" s="60"/>
      <c r="I35" s="60"/>
      <c r="J35" s="65"/>
      <c r="K35" s="70">
        <v>21</v>
      </c>
      <c r="L35" s="71"/>
      <c r="M35" s="72">
        <v>339.1</v>
      </c>
      <c r="N35" s="72">
        <v>347.7</v>
      </c>
      <c r="O35" s="72">
        <v>312.2</v>
      </c>
      <c r="P35" s="72">
        <v>347.7</v>
      </c>
    </row>
    <row r="36" spans="1:16" ht="12.75">
      <c r="A36" s="65"/>
      <c r="B36" s="70">
        <v>22</v>
      </c>
      <c r="C36" s="71"/>
      <c r="D36" s="72">
        <v>363.2</v>
      </c>
      <c r="E36" s="72">
        <v>383.4</v>
      </c>
      <c r="F36" s="72">
        <v>348.3</v>
      </c>
      <c r="G36" s="72">
        <v>363.6</v>
      </c>
      <c r="H36" s="60"/>
      <c r="I36" s="60"/>
      <c r="J36" s="65"/>
      <c r="K36" s="70">
        <v>22</v>
      </c>
      <c r="L36" s="71"/>
      <c r="M36" s="72">
        <v>349.4</v>
      </c>
      <c r="N36" s="72">
        <v>361.4</v>
      </c>
      <c r="O36" s="72">
        <v>328.4</v>
      </c>
      <c r="P36" s="72">
        <v>344</v>
      </c>
    </row>
    <row r="37" spans="1:16" ht="13.5" customHeight="1">
      <c r="A37" s="65"/>
      <c r="B37" s="70">
        <v>23</v>
      </c>
      <c r="C37" s="71"/>
      <c r="D37" s="72">
        <v>358.3</v>
      </c>
      <c r="E37" s="72">
        <v>381.5</v>
      </c>
      <c r="F37" s="72">
        <v>362.8</v>
      </c>
      <c r="G37" s="72">
        <v>363.3</v>
      </c>
      <c r="H37" s="60"/>
      <c r="I37" s="60"/>
      <c r="J37" s="65"/>
      <c r="K37" s="70">
        <v>23</v>
      </c>
      <c r="L37" s="71"/>
      <c r="M37" s="72">
        <v>344.4</v>
      </c>
      <c r="N37" s="72">
        <v>363.3</v>
      </c>
      <c r="O37" s="72">
        <v>345.2</v>
      </c>
      <c r="P37" s="72">
        <v>346.6</v>
      </c>
    </row>
    <row r="38" spans="1:16" ht="12.75">
      <c r="A38" s="65"/>
      <c r="B38" s="70">
        <v>24</v>
      </c>
      <c r="C38" s="71"/>
      <c r="D38" s="72">
        <v>352.4</v>
      </c>
      <c r="E38" s="72">
        <v>376.2</v>
      </c>
      <c r="F38" s="72">
        <v>368.1</v>
      </c>
      <c r="G38" s="72">
        <v>364.6</v>
      </c>
      <c r="H38" s="60"/>
      <c r="I38" s="60"/>
      <c r="J38" s="65"/>
      <c r="K38" s="70">
        <v>24</v>
      </c>
      <c r="L38" s="71"/>
      <c r="M38" s="72">
        <v>341.9</v>
      </c>
      <c r="N38" s="72">
        <v>370.3</v>
      </c>
      <c r="O38" s="72">
        <v>353.5</v>
      </c>
      <c r="P38" s="72">
        <v>349.5</v>
      </c>
    </row>
    <row r="39" spans="1:16" ht="12.75">
      <c r="A39" s="65"/>
      <c r="B39" s="70">
        <v>25</v>
      </c>
      <c r="C39" s="71"/>
      <c r="D39" s="72">
        <v>341.9</v>
      </c>
      <c r="E39" s="72">
        <v>386.2</v>
      </c>
      <c r="F39" s="72">
        <v>378.1</v>
      </c>
      <c r="G39" s="72">
        <v>363.6</v>
      </c>
      <c r="H39" s="60"/>
      <c r="I39" s="60"/>
      <c r="J39" s="65"/>
      <c r="K39" s="70">
        <v>25</v>
      </c>
      <c r="L39" s="71"/>
      <c r="M39" s="72">
        <v>340.8</v>
      </c>
      <c r="N39" s="72">
        <v>379</v>
      </c>
      <c r="O39" s="72">
        <v>362.6</v>
      </c>
      <c r="P39" s="72">
        <v>348</v>
      </c>
    </row>
    <row r="40" spans="1:16" ht="12.75">
      <c r="A40" s="65"/>
      <c r="B40" s="70">
        <v>26</v>
      </c>
      <c r="C40" s="71"/>
      <c r="D40" s="72">
        <v>351.9</v>
      </c>
      <c r="E40" s="72">
        <v>381.5</v>
      </c>
      <c r="F40" s="72">
        <v>390.6</v>
      </c>
      <c r="G40" s="72">
        <v>358.7</v>
      </c>
      <c r="H40" s="60"/>
      <c r="I40" s="60"/>
      <c r="J40" s="65"/>
      <c r="K40" s="70">
        <v>26</v>
      </c>
      <c r="L40" s="71"/>
      <c r="M40" s="72">
        <v>348.5</v>
      </c>
      <c r="N40" s="72">
        <v>369.7</v>
      </c>
      <c r="O40" s="72">
        <v>373.6</v>
      </c>
      <c r="P40" s="72">
        <v>343.8</v>
      </c>
    </row>
    <row r="41" spans="1:16" ht="12.75">
      <c r="A41" s="65"/>
      <c r="B41" s="70">
        <v>27</v>
      </c>
      <c r="C41" s="71"/>
      <c r="D41" s="72">
        <v>353.9</v>
      </c>
      <c r="E41" s="72">
        <v>375.4</v>
      </c>
      <c r="F41" s="72">
        <v>399.5</v>
      </c>
      <c r="G41" s="72">
        <v>362.5</v>
      </c>
      <c r="H41" s="60"/>
      <c r="I41" s="60"/>
      <c r="J41" s="65"/>
      <c r="K41" s="70">
        <v>27</v>
      </c>
      <c r="L41" s="71"/>
      <c r="M41" s="72">
        <v>349.9</v>
      </c>
      <c r="N41" s="72">
        <v>362.7</v>
      </c>
      <c r="O41" s="72">
        <v>380.9</v>
      </c>
      <c r="P41" s="72">
        <v>347.7</v>
      </c>
    </row>
    <row r="42" spans="1:16" ht="12.75">
      <c r="A42" s="65"/>
      <c r="B42" s="70">
        <v>28</v>
      </c>
      <c r="C42" s="71"/>
      <c r="D42" s="72">
        <v>337.5</v>
      </c>
      <c r="E42" s="72">
        <v>362.1</v>
      </c>
      <c r="F42" s="72">
        <v>416.3</v>
      </c>
      <c r="G42" s="72">
        <v>373</v>
      </c>
      <c r="H42" s="60"/>
      <c r="I42" s="60"/>
      <c r="J42" s="65"/>
      <c r="K42" s="70">
        <v>28</v>
      </c>
      <c r="L42" s="71"/>
      <c r="M42" s="72">
        <v>338.2</v>
      </c>
      <c r="N42" s="72">
        <v>357.4</v>
      </c>
      <c r="O42" s="72">
        <v>397.8</v>
      </c>
      <c r="P42" s="72">
        <v>355.8</v>
      </c>
    </row>
    <row r="43" spans="1:16" ht="12.75">
      <c r="A43" s="65"/>
      <c r="B43" s="70">
        <v>29</v>
      </c>
      <c r="C43" s="71"/>
      <c r="D43" s="72">
        <v>317.2</v>
      </c>
      <c r="E43" s="72">
        <v>367.1</v>
      </c>
      <c r="F43" s="72">
        <v>425.3</v>
      </c>
      <c r="G43" s="72">
        <v>383.8</v>
      </c>
      <c r="H43" s="60"/>
      <c r="I43" s="60"/>
      <c r="J43" s="65"/>
      <c r="K43" s="70">
        <v>29</v>
      </c>
      <c r="L43" s="71"/>
      <c r="M43" s="72">
        <v>319.2</v>
      </c>
      <c r="N43" s="72">
        <v>361.8</v>
      </c>
      <c r="O43" s="72">
        <v>406.1</v>
      </c>
      <c r="P43" s="72">
        <v>366.8</v>
      </c>
    </row>
    <row r="44" spans="1:16" ht="12.75">
      <c r="A44" s="65"/>
      <c r="B44" s="70">
        <v>30</v>
      </c>
      <c r="C44" s="71"/>
      <c r="D44" s="72">
        <v>314.8</v>
      </c>
      <c r="E44" s="72">
        <v>363.6</v>
      </c>
      <c r="F44" s="72">
        <v>425.8</v>
      </c>
      <c r="G44" s="72">
        <v>390.7</v>
      </c>
      <c r="H44" s="60"/>
      <c r="I44" s="60"/>
      <c r="J44" s="65"/>
      <c r="K44" s="70">
        <v>30</v>
      </c>
      <c r="L44" s="71"/>
      <c r="M44" s="72">
        <v>314.4</v>
      </c>
      <c r="N44" s="72">
        <v>360.5</v>
      </c>
      <c r="O44" s="72">
        <v>408.6</v>
      </c>
      <c r="P44" s="72">
        <v>375.6</v>
      </c>
    </row>
    <row r="45" spans="1:16" ht="12.75">
      <c r="A45" s="65"/>
      <c r="B45" s="70">
        <v>31</v>
      </c>
      <c r="C45" s="71"/>
      <c r="D45" s="72">
        <v>321.8</v>
      </c>
      <c r="E45" s="72">
        <v>342.9</v>
      </c>
      <c r="F45" s="72">
        <v>421.1</v>
      </c>
      <c r="G45" s="72">
        <v>398.6</v>
      </c>
      <c r="H45" s="60"/>
      <c r="I45" s="60"/>
      <c r="J45" s="65"/>
      <c r="K45" s="70">
        <v>31</v>
      </c>
      <c r="L45" s="71"/>
      <c r="M45" s="72">
        <v>321.1</v>
      </c>
      <c r="N45" s="72">
        <v>346.5</v>
      </c>
      <c r="O45" s="72">
        <v>406.4</v>
      </c>
      <c r="P45" s="72">
        <v>384.1</v>
      </c>
    </row>
    <row r="46" spans="1:16" ht="12.75">
      <c r="A46" s="65"/>
      <c r="B46" s="70">
        <v>32</v>
      </c>
      <c r="C46" s="71"/>
      <c r="D46" s="72">
        <v>328.7</v>
      </c>
      <c r="E46" s="72">
        <v>320.2</v>
      </c>
      <c r="F46" s="72">
        <v>426.6</v>
      </c>
      <c r="G46" s="72">
        <v>397.4</v>
      </c>
      <c r="H46" s="60"/>
      <c r="I46" s="60"/>
      <c r="J46" s="65"/>
      <c r="K46" s="70">
        <v>32</v>
      </c>
      <c r="L46" s="71"/>
      <c r="M46" s="72">
        <v>329.5</v>
      </c>
      <c r="N46" s="72">
        <v>325.9</v>
      </c>
      <c r="O46" s="72">
        <v>412.4</v>
      </c>
      <c r="P46" s="72">
        <v>384.5</v>
      </c>
    </row>
    <row r="47" spans="1:16" ht="12.75">
      <c r="A47" s="65"/>
      <c r="B47" s="70">
        <v>33</v>
      </c>
      <c r="C47" s="71"/>
      <c r="D47" s="72">
        <v>338.9</v>
      </c>
      <c r="E47" s="72">
        <v>316.9</v>
      </c>
      <c r="F47" s="72">
        <v>417.9</v>
      </c>
      <c r="G47" s="72">
        <v>400.8</v>
      </c>
      <c r="H47" s="60"/>
      <c r="I47" s="60"/>
      <c r="J47" s="65"/>
      <c r="K47" s="70">
        <v>33</v>
      </c>
      <c r="L47" s="71"/>
      <c r="M47" s="72">
        <v>340.3</v>
      </c>
      <c r="N47" s="72">
        <v>320</v>
      </c>
      <c r="O47" s="72">
        <v>405.3</v>
      </c>
      <c r="P47" s="72">
        <v>387.4</v>
      </c>
    </row>
    <row r="48" spans="1:16" ht="12.75">
      <c r="A48" s="65"/>
      <c r="B48" s="73" t="s">
        <v>61</v>
      </c>
      <c r="C48" s="71"/>
      <c r="D48" s="72">
        <v>352.6</v>
      </c>
      <c r="E48" s="72">
        <v>324.2</v>
      </c>
      <c r="F48" s="72">
        <v>406.7</v>
      </c>
      <c r="G48" s="72">
        <v>406.9</v>
      </c>
      <c r="H48" s="60"/>
      <c r="I48" s="60"/>
      <c r="J48" s="65"/>
      <c r="K48" s="73" t="s">
        <v>61</v>
      </c>
      <c r="L48" s="65"/>
      <c r="M48" s="72">
        <v>353.7</v>
      </c>
      <c r="N48" s="72">
        <v>325.8</v>
      </c>
      <c r="O48" s="72">
        <v>403.8</v>
      </c>
      <c r="P48" s="72">
        <v>393.1</v>
      </c>
    </row>
    <row r="49" spans="1:16" ht="12.75">
      <c r="A49" s="60"/>
      <c r="B49" s="60">
        <v>35</v>
      </c>
      <c r="C49" s="60"/>
      <c r="D49" s="66">
        <v>367</v>
      </c>
      <c r="E49" s="66">
        <v>332.7</v>
      </c>
      <c r="F49" s="66">
        <v>409.3</v>
      </c>
      <c r="G49" s="66">
        <v>412.1</v>
      </c>
      <c r="H49" s="66"/>
      <c r="I49" s="66"/>
      <c r="J49" s="60"/>
      <c r="K49" s="60">
        <v>35</v>
      </c>
      <c r="L49" s="60"/>
      <c r="M49" s="66">
        <v>373.4</v>
      </c>
      <c r="N49" s="66">
        <v>334.2</v>
      </c>
      <c r="O49" s="66">
        <v>404.1</v>
      </c>
      <c r="P49" s="66">
        <v>398.1</v>
      </c>
    </row>
    <row r="50" spans="1:16" ht="12.75">
      <c r="A50" s="60"/>
      <c r="B50" s="60">
        <v>36</v>
      </c>
      <c r="C50" s="60"/>
      <c r="D50" s="66">
        <v>377</v>
      </c>
      <c r="E50" s="66">
        <v>340.4</v>
      </c>
      <c r="F50" s="66">
        <v>400.2</v>
      </c>
      <c r="G50" s="66">
        <v>421.7</v>
      </c>
      <c r="H50" s="66"/>
      <c r="I50" s="66"/>
      <c r="J50" s="60"/>
      <c r="K50" s="60">
        <v>36</v>
      </c>
      <c r="L50" s="60"/>
      <c r="M50" s="66">
        <v>383.8</v>
      </c>
      <c r="N50" s="66">
        <v>341.3</v>
      </c>
      <c r="O50" s="66">
        <v>391.4</v>
      </c>
      <c r="P50" s="66">
        <v>408.4</v>
      </c>
    </row>
    <row r="51" spans="1:16" ht="12.75">
      <c r="A51" s="60"/>
      <c r="B51" s="60">
        <v>37</v>
      </c>
      <c r="C51" s="60"/>
      <c r="D51" s="66">
        <v>377.1</v>
      </c>
      <c r="E51" s="66">
        <v>355.5</v>
      </c>
      <c r="F51" s="66">
        <v>385.4</v>
      </c>
      <c r="G51" s="66">
        <v>429.7</v>
      </c>
      <c r="H51" s="66"/>
      <c r="I51" s="60"/>
      <c r="J51" s="60"/>
      <c r="K51" s="60">
        <v>37</v>
      </c>
      <c r="L51" s="60"/>
      <c r="M51" s="66">
        <v>380.1</v>
      </c>
      <c r="N51" s="66">
        <v>356.3</v>
      </c>
      <c r="O51" s="66">
        <v>377.6</v>
      </c>
      <c r="P51" s="66">
        <v>415.3</v>
      </c>
    </row>
    <row r="52" spans="1:16" ht="12.75">
      <c r="A52" s="60"/>
      <c r="B52" s="60">
        <v>38</v>
      </c>
      <c r="C52" s="60"/>
      <c r="D52" s="66">
        <v>384.3</v>
      </c>
      <c r="E52" s="66">
        <v>368.2</v>
      </c>
      <c r="F52" s="66">
        <v>370.6</v>
      </c>
      <c r="G52" s="66">
        <v>427.3</v>
      </c>
      <c r="H52" s="66"/>
      <c r="I52" s="60"/>
      <c r="J52" s="60"/>
      <c r="K52" s="60">
        <v>38</v>
      </c>
      <c r="L52" s="60"/>
      <c r="M52" s="66">
        <v>388.3</v>
      </c>
      <c r="N52" s="66">
        <v>374.4</v>
      </c>
      <c r="O52" s="66">
        <v>371.2</v>
      </c>
      <c r="P52" s="66">
        <v>413.9</v>
      </c>
    </row>
    <row r="53" spans="1:16" ht="12.75">
      <c r="A53" s="60"/>
      <c r="B53" s="60">
        <v>39</v>
      </c>
      <c r="C53" s="60"/>
      <c r="D53" s="66">
        <v>390.6</v>
      </c>
      <c r="E53" s="66">
        <v>378</v>
      </c>
      <c r="F53" s="66">
        <v>371.6</v>
      </c>
      <c r="G53" s="66">
        <v>424.8</v>
      </c>
      <c r="H53" s="66"/>
      <c r="I53" s="60"/>
      <c r="J53" s="60"/>
      <c r="K53" s="60">
        <v>39</v>
      </c>
      <c r="L53" s="60"/>
      <c r="M53" s="66">
        <v>391.2</v>
      </c>
      <c r="N53" s="66">
        <v>384</v>
      </c>
      <c r="O53" s="66">
        <v>370.3</v>
      </c>
      <c r="P53" s="66">
        <v>411.8</v>
      </c>
    </row>
    <row r="54" spans="1:16" ht="12.75">
      <c r="A54" s="60"/>
      <c r="B54" s="60">
        <v>40</v>
      </c>
      <c r="C54" s="60"/>
      <c r="D54" s="66">
        <v>399.8</v>
      </c>
      <c r="E54" s="66">
        <v>378.6</v>
      </c>
      <c r="F54" s="66">
        <v>365.2</v>
      </c>
      <c r="G54" s="66">
        <v>427.9</v>
      </c>
      <c r="H54" s="66"/>
      <c r="I54" s="60"/>
      <c r="J54" s="60"/>
      <c r="K54" s="60">
        <v>40</v>
      </c>
      <c r="L54" s="60"/>
      <c r="M54" s="66">
        <v>398.3</v>
      </c>
      <c r="N54" s="66">
        <v>380</v>
      </c>
      <c r="O54" s="66">
        <v>364.6</v>
      </c>
      <c r="P54" s="66">
        <v>413.7</v>
      </c>
    </row>
    <row r="55" spans="1:16" ht="12.75">
      <c r="A55" s="60"/>
      <c r="B55" s="60">
        <v>41</v>
      </c>
      <c r="C55" s="60"/>
      <c r="D55" s="66">
        <v>398.4</v>
      </c>
      <c r="E55" s="66">
        <v>385.6</v>
      </c>
      <c r="F55" s="66">
        <v>344.5</v>
      </c>
      <c r="G55" s="66">
        <v>420.5</v>
      </c>
      <c r="H55" s="66"/>
      <c r="I55" s="60"/>
      <c r="J55" s="60"/>
      <c r="K55" s="60">
        <v>41</v>
      </c>
      <c r="L55" s="60"/>
      <c r="M55" s="66">
        <v>400.2</v>
      </c>
      <c r="N55" s="66">
        <v>387.9</v>
      </c>
      <c r="O55" s="66">
        <v>349</v>
      </c>
      <c r="P55" s="66">
        <v>406.8</v>
      </c>
    </row>
    <row r="56" spans="1:16" ht="12.75">
      <c r="A56" s="60"/>
      <c r="B56" s="60">
        <v>42</v>
      </c>
      <c r="C56" s="60"/>
      <c r="D56" s="66">
        <v>397.4</v>
      </c>
      <c r="E56" s="66">
        <v>391.1</v>
      </c>
      <c r="F56" s="66">
        <v>325.4</v>
      </c>
      <c r="G56" s="66">
        <v>409.9</v>
      </c>
      <c r="H56" s="66"/>
      <c r="I56" s="60"/>
      <c r="J56" s="60"/>
      <c r="K56" s="60">
        <v>42</v>
      </c>
      <c r="L56" s="60"/>
      <c r="M56" s="66">
        <v>401.2</v>
      </c>
      <c r="N56" s="66">
        <v>390.6</v>
      </c>
      <c r="O56" s="66">
        <v>330.4</v>
      </c>
      <c r="P56" s="66">
        <v>405.6</v>
      </c>
    </row>
    <row r="57" spans="1:16" ht="12.75">
      <c r="A57" s="60"/>
      <c r="B57" s="60">
        <v>43</v>
      </c>
      <c r="C57" s="60"/>
      <c r="D57" s="66">
        <v>391.7</v>
      </c>
      <c r="E57" s="66">
        <v>399.5</v>
      </c>
      <c r="F57" s="66">
        <v>321.1</v>
      </c>
      <c r="G57" s="66">
        <v>409.8</v>
      </c>
      <c r="H57" s="66"/>
      <c r="I57" s="60"/>
      <c r="J57" s="60"/>
      <c r="K57" s="60">
        <v>43</v>
      </c>
      <c r="L57" s="60"/>
      <c r="M57" s="66">
        <v>397.8</v>
      </c>
      <c r="N57" s="66">
        <v>397.7</v>
      </c>
      <c r="O57" s="66">
        <v>322.8</v>
      </c>
      <c r="P57" s="66">
        <v>403.7</v>
      </c>
    </row>
    <row r="58" spans="1:16" ht="12.75">
      <c r="A58" s="60"/>
      <c r="B58" s="60">
        <v>44</v>
      </c>
      <c r="C58" s="60"/>
      <c r="D58" s="66">
        <v>381.9</v>
      </c>
      <c r="E58" s="66">
        <v>397.1</v>
      </c>
      <c r="F58" s="66">
        <v>325.4</v>
      </c>
      <c r="G58" s="66">
        <v>399.2</v>
      </c>
      <c r="H58" s="66"/>
      <c r="I58" s="60"/>
      <c r="J58" s="60"/>
      <c r="K58" s="60">
        <v>44</v>
      </c>
      <c r="L58" s="60"/>
      <c r="M58" s="66">
        <v>391.1</v>
      </c>
      <c r="N58" s="66">
        <v>399.6</v>
      </c>
      <c r="O58" s="66">
        <v>326.3</v>
      </c>
      <c r="P58" s="66">
        <v>390.4</v>
      </c>
    </row>
    <row r="59" spans="1:16" ht="12.75">
      <c r="A59" s="60"/>
      <c r="B59" s="60">
        <v>45</v>
      </c>
      <c r="C59" s="60"/>
      <c r="D59" s="66">
        <v>371.4</v>
      </c>
      <c r="E59" s="66">
        <v>394.7</v>
      </c>
      <c r="F59" s="66">
        <v>331.6</v>
      </c>
      <c r="G59" s="66">
        <v>383.3</v>
      </c>
      <c r="H59" s="66"/>
      <c r="I59" s="60"/>
      <c r="J59" s="60"/>
      <c r="K59" s="60">
        <v>45</v>
      </c>
      <c r="L59" s="60"/>
      <c r="M59" s="66">
        <v>381</v>
      </c>
      <c r="N59" s="66">
        <v>400.4</v>
      </c>
      <c r="O59" s="66">
        <v>333.4</v>
      </c>
      <c r="P59" s="66">
        <v>376.1</v>
      </c>
    </row>
    <row r="60" spans="1:16" ht="12.75">
      <c r="A60" s="60"/>
      <c r="B60" s="60">
        <v>46</v>
      </c>
      <c r="C60" s="60"/>
      <c r="D60" s="66">
        <v>362.8</v>
      </c>
      <c r="E60" s="66">
        <v>387.8</v>
      </c>
      <c r="F60" s="66">
        <v>337.1</v>
      </c>
      <c r="G60" s="66">
        <v>367.2</v>
      </c>
      <c r="H60" s="66"/>
      <c r="I60" s="60"/>
      <c r="J60" s="60"/>
      <c r="K60" s="60">
        <v>46</v>
      </c>
      <c r="L60" s="60"/>
      <c r="M60" s="66">
        <v>369.8</v>
      </c>
      <c r="N60" s="66">
        <v>396.3</v>
      </c>
      <c r="O60" s="66">
        <v>339.2</v>
      </c>
      <c r="P60" s="66">
        <v>369.1</v>
      </c>
    </row>
    <row r="61" spans="1:16" ht="12.75">
      <c r="A61" s="60"/>
      <c r="B61" s="60">
        <v>47</v>
      </c>
      <c r="C61" s="60"/>
      <c r="D61" s="66">
        <v>349.6</v>
      </c>
      <c r="E61" s="66">
        <v>377.7</v>
      </c>
      <c r="F61" s="66">
        <v>350.8</v>
      </c>
      <c r="G61" s="66">
        <v>366.4</v>
      </c>
      <c r="H61" s="66"/>
      <c r="I61" s="60"/>
      <c r="J61" s="60"/>
      <c r="K61" s="60">
        <v>47</v>
      </c>
      <c r="L61" s="60"/>
      <c r="M61" s="66">
        <v>355.5</v>
      </c>
      <c r="N61" s="66">
        <v>389</v>
      </c>
      <c r="O61" s="66">
        <v>353.2</v>
      </c>
      <c r="P61" s="66">
        <v>367.6</v>
      </c>
    </row>
    <row r="62" spans="1:16" ht="12.75">
      <c r="A62" s="60"/>
      <c r="B62" s="60">
        <v>48</v>
      </c>
      <c r="C62" s="60"/>
      <c r="D62" s="66">
        <v>342.4</v>
      </c>
      <c r="E62" s="66">
        <v>367.3</v>
      </c>
      <c r="F62" s="66">
        <v>362</v>
      </c>
      <c r="G62" s="66">
        <v>358.5</v>
      </c>
      <c r="H62" s="66"/>
      <c r="I62" s="60"/>
      <c r="J62" s="60"/>
      <c r="K62" s="60">
        <v>48</v>
      </c>
      <c r="L62" s="60"/>
      <c r="M62" s="66">
        <v>346.4</v>
      </c>
      <c r="N62" s="66">
        <v>378.8</v>
      </c>
      <c r="O62" s="66">
        <v>370.6</v>
      </c>
      <c r="P62" s="66">
        <v>361.6</v>
      </c>
    </row>
    <row r="63" spans="1:16" ht="12.75">
      <c r="A63" s="60"/>
      <c r="B63" s="60">
        <v>49</v>
      </c>
      <c r="C63" s="60"/>
      <c r="D63" s="66">
        <v>337.7</v>
      </c>
      <c r="E63" s="66">
        <v>358.8</v>
      </c>
      <c r="F63" s="66">
        <v>369.7</v>
      </c>
      <c r="G63" s="66">
        <v>337</v>
      </c>
      <c r="H63" s="66"/>
      <c r="I63" s="60"/>
      <c r="J63" s="60"/>
      <c r="K63" s="60">
        <v>49</v>
      </c>
      <c r="L63" s="60"/>
      <c r="M63" s="66">
        <v>340.7</v>
      </c>
      <c r="N63" s="66">
        <v>367.7</v>
      </c>
      <c r="O63" s="66">
        <v>379.5</v>
      </c>
      <c r="P63" s="66">
        <v>345.7</v>
      </c>
    </row>
    <row r="64" spans="1:16" ht="12.75">
      <c r="A64" s="60"/>
      <c r="B64" s="60">
        <v>50</v>
      </c>
      <c r="C64" s="60"/>
      <c r="D64" s="66">
        <v>324.6</v>
      </c>
      <c r="E64" s="66">
        <v>345.9</v>
      </c>
      <c r="F64" s="66">
        <v>368.7</v>
      </c>
      <c r="G64" s="66">
        <v>317.3</v>
      </c>
      <c r="H64" s="66"/>
      <c r="I64" s="60"/>
      <c r="J64" s="60"/>
      <c r="K64" s="60">
        <v>50</v>
      </c>
      <c r="L64" s="60"/>
      <c r="M64" s="66">
        <v>329.5</v>
      </c>
      <c r="N64" s="66">
        <v>353.1</v>
      </c>
      <c r="O64" s="66">
        <v>374.6</v>
      </c>
      <c r="P64" s="66">
        <v>326.5</v>
      </c>
    </row>
    <row r="65" spans="1:16" ht="12.75">
      <c r="A65" s="60"/>
      <c r="B65" s="60">
        <v>51</v>
      </c>
      <c r="C65" s="60"/>
      <c r="D65" s="66">
        <v>311.7</v>
      </c>
      <c r="E65" s="66">
        <v>338.8</v>
      </c>
      <c r="F65" s="66">
        <v>374.5</v>
      </c>
      <c r="G65" s="66">
        <v>312.3</v>
      </c>
      <c r="H65" s="66"/>
      <c r="I65" s="60"/>
      <c r="J65" s="60"/>
      <c r="K65" s="60">
        <v>51</v>
      </c>
      <c r="L65" s="60"/>
      <c r="M65" s="66">
        <v>317.8</v>
      </c>
      <c r="N65" s="66">
        <v>343.4</v>
      </c>
      <c r="O65" s="66">
        <v>381.3</v>
      </c>
      <c r="P65" s="66">
        <v>317.8</v>
      </c>
    </row>
    <row r="66" spans="1:16" ht="12.75">
      <c r="A66" s="60"/>
      <c r="B66" s="60">
        <v>52</v>
      </c>
      <c r="C66" s="60"/>
      <c r="D66" s="66">
        <v>302.5</v>
      </c>
      <c r="E66" s="66">
        <v>334.2</v>
      </c>
      <c r="F66" s="66">
        <v>378.6</v>
      </c>
      <c r="G66" s="66">
        <v>316.3</v>
      </c>
      <c r="H66" s="66"/>
      <c r="I66" s="60"/>
      <c r="J66" s="60"/>
      <c r="K66" s="60">
        <v>52</v>
      </c>
      <c r="L66" s="60"/>
      <c r="M66" s="66">
        <v>309.2</v>
      </c>
      <c r="N66" s="66">
        <v>337.1</v>
      </c>
      <c r="O66" s="66">
        <v>383</v>
      </c>
      <c r="P66" s="66">
        <v>320.2</v>
      </c>
    </row>
    <row r="67" spans="1:16" ht="12.75">
      <c r="A67" s="60"/>
      <c r="B67" s="60">
        <v>53</v>
      </c>
      <c r="C67" s="60"/>
      <c r="D67" s="66">
        <v>301.1</v>
      </c>
      <c r="E67" s="66">
        <v>320.7</v>
      </c>
      <c r="F67" s="66">
        <v>385.3</v>
      </c>
      <c r="G67" s="66">
        <v>322.2</v>
      </c>
      <c r="H67" s="66"/>
      <c r="I67" s="60"/>
      <c r="J67" s="60"/>
      <c r="K67" s="60">
        <v>53</v>
      </c>
      <c r="L67" s="60"/>
      <c r="M67" s="66">
        <v>308.9</v>
      </c>
      <c r="N67" s="66">
        <v>325.8</v>
      </c>
      <c r="O67" s="66">
        <v>388.7</v>
      </c>
      <c r="P67" s="66">
        <v>326.6</v>
      </c>
    </row>
    <row r="68" spans="1:16" ht="12.75">
      <c r="A68" s="60"/>
      <c r="B68" s="60">
        <v>54</v>
      </c>
      <c r="C68" s="60"/>
      <c r="D68" s="66">
        <v>297.7</v>
      </c>
      <c r="E68" s="66">
        <v>307.2</v>
      </c>
      <c r="F68" s="66">
        <v>382</v>
      </c>
      <c r="G68" s="66">
        <v>327.2</v>
      </c>
      <c r="H68" s="66"/>
      <c r="I68" s="60"/>
      <c r="J68" s="60"/>
      <c r="K68" s="60">
        <v>54</v>
      </c>
      <c r="L68" s="60"/>
      <c r="M68" s="66">
        <v>304.8</v>
      </c>
      <c r="N68" s="66">
        <v>314.1</v>
      </c>
      <c r="O68" s="66">
        <v>389.3</v>
      </c>
      <c r="P68" s="66">
        <v>331.8</v>
      </c>
    </row>
    <row r="69" spans="1:16" ht="12.75">
      <c r="A69" s="60"/>
      <c r="B69" s="60">
        <v>55</v>
      </c>
      <c r="C69" s="60"/>
      <c r="D69" s="66">
        <v>294.9</v>
      </c>
      <c r="E69" s="66">
        <v>297.5</v>
      </c>
      <c r="F69" s="66">
        <v>379</v>
      </c>
      <c r="G69" s="66">
        <v>340</v>
      </c>
      <c r="H69" s="66"/>
      <c r="I69" s="60"/>
      <c r="J69" s="60"/>
      <c r="K69" s="60">
        <v>55</v>
      </c>
      <c r="L69" s="60"/>
      <c r="M69" s="66">
        <v>302.1</v>
      </c>
      <c r="N69" s="66">
        <v>305.2</v>
      </c>
      <c r="O69" s="66">
        <v>388.8</v>
      </c>
      <c r="P69" s="66">
        <v>344.6</v>
      </c>
    </row>
    <row r="70" spans="1:16" ht="12.75">
      <c r="A70" s="60"/>
      <c r="B70" s="60">
        <v>56</v>
      </c>
      <c r="C70" s="60"/>
      <c r="D70" s="66">
        <v>294.9</v>
      </c>
      <c r="E70" s="66">
        <v>295.6</v>
      </c>
      <c r="F70" s="66">
        <v>371.5</v>
      </c>
      <c r="G70" s="66">
        <v>350.1</v>
      </c>
      <c r="H70" s="66"/>
      <c r="I70" s="60"/>
      <c r="J70" s="60"/>
      <c r="K70" s="60">
        <v>56</v>
      </c>
      <c r="L70" s="60"/>
      <c r="M70" s="66">
        <v>302.2</v>
      </c>
      <c r="N70" s="66">
        <v>304.2</v>
      </c>
      <c r="O70" s="66">
        <v>383.5</v>
      </c>
      <c r="P70" s="66">
        <v>360.5</v>
      </c>
    </row>
    <row r="71" spans="1:16" ht="12.75">
      <c r="A71" s="60"/>
      <c r="B71" s="60">
        <v>57</v>
      </c>
      <c r="C71" s="60"/>
      <c r="D71" s="66">
        <v>300.4</v>
      </c>
      <c r="E71" s="66">
        <v>291.8</v>
      </c>
      <c r="F71" s="66">
        <v>360.6</v>
      </c>
      <c r="G71" s="66">
        <v>356.5</v>
      </c>
      <c r="H71" s="66"/>
      <c r="I71" s="60"/>
      <c r="J71" s="60"/>
      <c r="K71" s="60">
        <v>57</v>
      </c>
      <c r="L71" s="60"/>
      <c r="M71" s="66">
        <v>310.2</v>
      </c>
      <c r="N71" s="66">
        <v>299.7</v>
      </c>
      <c r="O71" s="66">
        <v>375.3</v>
      </c>
      <c r="P71" s="66">
        <v>368.1</v>
      </c>
    </row>
    <row r="72" spans="1:16" ht="12.75">
      <c r="A72" s="60"/>
      <c r="B72" s="60">
        <v>58</v>
      </c>
      <c r="C72" s="60"/>
      <c r="D72" s="66">
        <v>309.5</v>
      </c>
      <c r="E72" s="66">
        <v>288.2</v>
      </c>
      <c r="F72" s="66">
        <v>349</v>
      </c>
      <c r="G72" s="66">
        <v>353.9</v>
      </c>
      <c r="H72" s="66"/>
      <c r="I72" s="60"/>
      <c r="J72" s="60"/>
      <c r="K72" s="60">
        <v>58</v>
      </c>
      <c r="L72" s="60"/>
      <c r="M72" s="66">
        <v>319.2</v>
      </c>
      <c r="N72" s="66">
        <v>296.9</v>
      </c>
      <c r="O72" s="66">
        <v>364.1</v>
      </c>
      <c r="P72" s="66">
        <v>362.6</v>
      </c>
    </row>
    <row r="73" spans="1:16" ht="12.75">
      <c r="A73" s="60"/>
      <c r="B73" s="60">
        <v>59</v>
      </c>
      <c r="C73" s="60"/>
      <c r="D73" s="66">
        <v>329.4</v>
      </c>
      <c r="E73" s="66">
        <v>287.1</v>
      </c>
      <c r="F73" s="66">
        <v>339</v>
      </c>
      <c r="G73" s="66">
        <v>357.5</v>
      </c>
      <c r="H73" s="66"/>
      <c r="I73" s="60"/>
      <c r="J73" s="60"/>
      <c r="K73" s="60">
        <v>59</v>
      </c>
      <c r="L73" s="60"/>
      <c r="M73" s="66">
        <v>340.1</v>
      </c>
      <c r="N73" s="66">
        <v>297.1</v>
      </c>
      <c r="O73" s="66">
        <v>352.2</v>
      </c>
      <c r="P73" s="66">
        <v>368.7</v>
      </c>
    </row>
    <row r="74" spans="1:16" ht="12.75">
      <c r="A74" s="60"/>
      <c r="B74" s="60">
        <v>60</v>
      </c>
      <c r="C74" s="60"/>
      <c r="D74" s="66">
        <v>346.5</v>
      </c>
      <c r="E74" s="66">
        <v>291.2</v>
      </c>
      <c r="F74" s="66">
        <v>324.2</v>
      </c>
      <c r="G74" s="66">
        <v>359.2</v>
      </c>
      <c r="H74" s="66"/>
      <c r="I74" s="60"/>
      <c r="J74" s="60"/>
      <c r="K74" s="60">
        <v>60</v>
      </c>
      <c r="L74" s="60"/>
      <c r="M74" s="66">
        <v>358.4</v>
      </c>
      <c r="N74" s="66">
        <v>304.9</v>
      </c>
      <c r="O74" s="66">
        <v>337.2</v>
      </c>
      <c r="P74" s="66">
        <v>369.7</v>
      </c>
    </row>
    <row r="75" spans="1:16" ht="12.75">
      <c r="A75" s="60"/>
      <c r="B75" s="60">
        <v>61</v>
      </c>
      <c r="C75" s="60"/>
      <c r="D75" s="66">
        <v>292.3</v>
      </c>
      <c r="E75" s="66">
        <v>298.7</v>
      </c>
      <c r="F75" s="66">
        <v>314.7</v>
      </c>
      <c r="G75" s="66">
        <v>363.3</v>
      </c>
      <c r="H75" s="66"/>
      <c r="I75" s="60"/>
      <c r="J75" s="60"/>
      <c r="K75" s="60">
        <v>61</v>
      </c>
      <c r="L75" s="60"/>
      <c r="M75" s="66">
        <v>304.9</v>
      </c>
      <c r="N75" s="66">
        <v>313.4</v>
      </c>
      <c r="O75" s="66">
        <v>327</v>
      </c>
      <c r="P75" s="66">
        <v>374.4</v>
      </c>
    </row>
    <row r="76" spans="1:16" ht="12.75">
      <c r="A76" s="60"/>
      <c r="B76" s="60">
        <v>62</v>
      </c>
      <c r="C76" s="60"/>
      <c r="D76" s="66">
        <v>274.3</v>
      </c>
      <c r="E76" s="66">
        <v>316.9</v>
      </c>
      <c r="F76" s="66">
        <v>307.7</v>
      </c>
      <c r="G76" s="66">
        <v>357.9</v>
      </c>
      <c r="H76" s="66"/>
      <c r="I76" s="60"/>
      <c r="J76" s="60"/>
      <c r="K76" s="60">
        <v>62</v>
      </c>
      <c r="L76" s="60"/>
      <c r="M76" s="66">
        <v>287.1</v>
      </c>
      <c r="N76" s="66">
        <v>333.3</v>
      </c>
      <c r="O76" s="66">
        <v>320</v>
      </c>
      <c r="P76" s="66">
        <v>374</v>
      </c>
    </row>
    <row r="77" spans="1:16" ht="12.75">
      <c r="A77" s="60"/>
      <c r="B77" s="60">
        <v>63</v>
      </c>
      <c r="C77" s="60"/>
      <c r="D77" s="66">
        <v>266.8</v>
      </c>
      <c r="E77" s="66">
        <v>333</v>
      </c>
      <c r="F77" s="66">
        <v>293</v>
      </c>
      <c r="G77" s="66">
        <v>353.2</v>
      </c>
      <c r="H77" s="66"/>
      <c r="I77" s="60"/>
      <c r="J77" s="60"/>
      <c r="K77" s="60">
        <v>63</v>
      </c>
      <c r="L77" s="60"/>
      <c r="M77" s="66">
        <v>279.1</v>
      </c>
      <c r="N77" s="66">
        <v>350.5</v>
      </c>
      <c r="O77" s="66">
        <v>307.9</v>
      </c>
      <c r="P77" s="66">
        <v>372.7</v>
      </c>
    </row>
    <row r="78" spans="1:16" ht="12.75">
      <c r="A78" s="60"/>
      <c r="B78" s="60">
        <v>64</v>
      </c>
      <c r="C78" s="60"/>
      <c r="D78" s="66">
        <v>254.4</v>
      </c>
      <c r="E78" s="66">
        <v>280.4</v>
      </c>
      <c r="F78" s="66">
        <v>278.7</v>
      </c>
      <c r="G78" s="66">
        <v>344.3</v>
      </c>
      <c r="H78" s="66"/>
      <c r="I78" s="60"/>
      <c r="J78" s="60"/>
      <c r="K78" s="60">
        <v>64</v>
      </c>
      <c r="L78" s="60"/>
      <c r="M78" s="66">
        <v>268</v>
      </c>
      <c r="N78" s="66">
        <v>297.5</v>
      </c>
      <c r="O78" s="66">
        <v>295.7</v>
      </c>
      <c r="P78" s="66">
        <v>367</v>
      </c>
    </row>
    <row r="79" spans="1:16" ht="12.75">
      <c r="A79" s="60"/>
      <c r="B79" s="60">
        <v>65</v>
      </c>
      <c r="C79" s="60"/>
      <c r="D79" s="66">
        <v>229.3</v>
      </c>
      <c r="E79" s="66">
        <v>262.9</v>
      </c>
      <c r="F79" s="66">
        <v>267.9</v>
      </c>
      <c r="G79" s="66">
        <v>332.5</v>
      </c>
      <c r="H79" s="66"/>
      <c r="I79" s="60"/>
      <c r="J79" s="60"/>
      <c r="K79" s="60">
        <v>65</v>
      </c>
      <c r="L79" s="60"/>
      <c r="M79" s="66">
        <v>243.6</v>
      </c>
      <c r="N79" s="66">
        <v>279.6</v>
      </c>
      <c r="O79" s="66">
        <v>286.2</v>
      </c>
      <c r="P79" s="66">
        <v>358.1</v>
      </c>
    </row>
    <row r="80" spans="1:16" ht="12.75">
      <c r="A80" s="60"/>
      <c r="B80" s="60">
        <v>66</v>
      </c>
      <c r="C80" s="60"/>
      <c r="D80" s="66">
        <v>211.8</v>
      </c>
      <c r="E80" s="66">
        <v>255.5</v>
      </c>
      <c r="F80" s="66">
        <v>264.7</v>
      </c>
      <c r="G80" s="66">
        <v>320.5</v>
      </c>
      <c r="H80" s="66"/>
      <c r="I80" s="60"/>
      <c r="J80" s="60"/>
      <c r="K80" s="60">
        <v>66</v>
      </c>
      <c r="L80" s="60"/>
      <c r="M80" s="66">
        <v>225.6</v>
      </c>
      <c r="N80" s="66">
        <v>271.1</v>
      </c>
      <c r="O80" s="66">
        <v>284.3</v>
      </c>
      <c r="P80" s="66">
        <v>346.1</v>
      </c>
    </row>
    <row r="81" spans="1:16" ht="12.75">
      <c r="A81" s="60"/>
      <c r="B81" s="60">
        <v>67</v>
      </c>
      <c r="C81" s="60"/>
      <c r="D81" s="66">
        <v>215.1</v>
      </c>
      <c r="E81" s="66">
        <v>243.4</v>
      </c>
      <c r="F81" s="66">
        <v>259.9</v>
      </c>
      <c r="G81" s="66">
        <v>310.4</v>
      </c>
      <c r="H81" s="66"/>
      <c r="I81" s="60"/>
      <c r="J81" s="60"/>
      <c r="K81" s="60">
        <v>67</v>
      </c>
      <c r="L81" s="60"/>
      <c r="M81" s="66">
        <v>231.2</v>
      </c>
      <c r="N81" s="66">
        <v>259.5</v>
      </c>
      <c r="O81" s="66">
        <v>278.7</v>
      </c>
      <c r="P81" s="66">
        <v>333.3</v>
      </c>
    </row>
    <row r="82" spans="1:16" ht="12.75">
      <c r="A82" s="60"/>
      <c r="B82" s="60">
        <v>68</v>
      </c>
      <c r="C82" s="60"/>
      <c r="D82" s="66">
        <v>215.1</v>
      </c>
      <c r="E82" s="66">
        <v>219.1</v>
      </c>
      <c r="F82" s="66">
        <v>255.4</v>
      </c>
      <c r="G82" s="66">
        <v>296.1</v>
      </c>
      <c r="H82" s="66"/>
      <c r="I82" s="60"/>
      <c r="J82" s="60"/>
      <c r="K82" s="60">
        <v>68</v>
      </c>
      <c r="L82" s="60"/>
      <c r="M82" s="66">
        <v>232.2</v>
      </c>
      <c r="N82" s="66">
        <v>235.2</v>
      </c>
      <c r="O82" s="66">
        <v>274.7</v>
      </c>
      <c r="P82" s="66">
        <v>317.7</v>
      </c>
    </row>
    <row r="83" spans="1:16" ht="12.75">
      <c r="A83" s="60"/>
      <c r="B83" s="60">
        <v>69</v>
      </c>
      <c r="C83" s="60"/>
      <c r="D83" s="66">
        <v>210.8</v>
      </c>
      <c r="E83" s="66">
        <v>201.7</v>
      </c>
      <c r="F83" s="66">
        <v>253</v>
      </c>
      <c r="G83" s="66">
        <v>286.8</v>
      </c>
      <c r="H83" s="66"/>
      <c r="I83" s="60"/>
      <c r="J83" s="60"/>
      <c r="K83" s="60">
        <v>69</v>
      </c>
      <c r="L83" s="60"/>
      <c r="M83" s="66">
        <v>229.2</v>
      </c>
      <c r="N83" s="66">
        <v>217.6</v>
      </c>
      <c r="O83" s="66">
        <v>273.4</v>
      </c>
      <c r="P83" s="66">
        <v>306.9</v>
      </c>
    </row>
    <row r="84" spans="1:16" ht="12.75">
      <c r="A84" s="60"/>
      <c r="B84" s="60">
        <v>70</v>
      </c>
      <c r="C84" s="60"/>
      <c r="D84" s="66">
        <v>203</v>
      </c>
      <c r="E84" s="66">
        <v>203.7</v>
      </c>
      <c r="F84" s="66">
        <v>255</v>
      </c>
      <c r="G84" s="66">
        <v>279.3</v>
      </c>
      <c r="H84" s="66"/>
      <c r="I84" s="60"/>
      <c r="J84" s="60"/>
      <c r="K84" s="60">
        <v>70</v>
      </c>
      <c r="L84" s="60"/>
      <c r="M84" s="66">
        <v>223.4</v>
      </c>
      <c r="N84" s="66">
        <v>222.9</v>
      </c>
      <c r="O84" s="66">
        <v>279.2</v>
      </c>
      <c r="P84" s="66">
        <v>299.3</v>
      </c>
    </row>
    <row r="85" spans="1:16" ht="12.75">
      <c r="A85" s="60"/>
      <c r="B85" s="60">
        <v>71</v>
      </c>
      <c r="C85" s="60"/>
      <c r="D85" s="66">
        <v>194.1</v>
      </c>
      <c r="E85" s="66">
        <v>202.2</v>
      </c>
      <c r="F85" s="66">
        <v>259.8</v>
      </c>
      <c r="G85" s="66">
        <v>264.4</v>
      </c>
      <c r="H85" s="66"/>
      <c r="I85" s="60"/>
      <c r="J85" s="60"/>
      <c r="K85" s="60">
        <v>71</v>
      </c>
      <c r="L85" s="60"/>
      <c r="M85" s="66">
        <v>216.5</v>
      </c>
      <c r="N85" s="66">
        <v>223.5</v>
      </c>
      <c r="O85" s="66">
        <v>285.4</v>
      </c>
      <c r="P85" s="66">
        <v>287</v>
      </c>
    </row>
    <row r="86" spans="1:16" ht="12.75">
      <c r="A86" s="60"/>
      <c r="B86" s="60">
        <v>72</v>
      </c>
      <c r="C86" s="60"/>
      <c r="D86" s="66">
        <v>184.6</v>
      </c>
      <c r="E86" s="66">
        <v>196.8</v>
      </c>
      <c r="F86" s="66">
        <v>273.4</v>
      </c>
      <c r="G86" s="66">
        <v>249.6</v>
      </c>
      <c r="H86" s="66"/>
      <c r="I86" s="60"/>
      <c r="J86" s="60"/>
      <c r="K86" s="60">
        <v>72</v>
      </c>
      <c r="L86" s="60"/>
      <c r="M86" s="66">
        <v>208.7</v>
      </c>
      <c r="N86" s="66">
        <v>219.9</v>
      </c>
      <c r="O86" s="66">
        <v>301.7</v>
      </c>
      <c r="P86" s="66">
        <v>274.3</v>
      </c>
    </row>
    <row r="87" spans="1:16" ht="12.75">
      <c r="A87" s="60"/>
      <c r="B87" s="60">
        <v>73</v>
      </c>
      <c r="C87" s="60"/>
      <c r="D87" s="66">
        <v>172.8</v>
      </c>
      <c r="E87" s="66">
        <v>188.1</v>
      </c>
      <c r="F87" s="66">
        <v>284.1</v>
      </c>
      <c r="G87" s="66">
        <v>238</v>
      </c>
      <c r="H87" s="66"/>
      <c r="I87" s="60"/>
      <c r="J87" s="60"/>
      <c r="K87" s="60">
        <v>73</v>
      </c>
      <c r="L87" s="60"/>
      <c r="M87" s="66">
        <v>199.8</v>
      </c>
      <c r="N87" s="66">
        <v>213.2</v>
      </c>
      <c r="O87" s="66">
        <v>314.9</v>
      </c>
      <c r="P87" s="66">
        <v>264.1</v>
      </c>
    </row>
    <row r="88" spans="1:16" ht="12.75">
      <c r="A88" s="60"/>
      <c r="B88" s="60">
        <v>74</v>
      </c>
      <c r="C88" s="60"/>
      <c r="D88" s="66">
        <v>166.6</v>
      </c>
      <c r="E88" s="66">
        <v>178.6</v>
      </c>
      <c r="F88" s="66">
        <v>235.9</v>
      </c>
      <c r="G88" s="66">
        <v>232.9</v>
      </c>
      <c r="H88" s="66"/>
      <c r="I88" s="60"/>
      <c r="J88" s="60"/>
      <c r="K88" s="60">
        <v>74</v>
      </c>
      <c r="L88" s="60"/>
      <c r="M88" s="66">
        <v>196.3</v>
      </c>
      <c r="N88" s="66">
        <v>205.3</v>
      </c>
      <c r="O88" s="66">
        <v>264.6</v>
      </c>
      <c r="P88" s="66">
        <v>260.9</v>
      </c>
    </row>
    <row r="89" spans="1:16" ht="12.75">
      <c r="A89" s="60"/>
      <c r="B89" s="60">
        <v>75</v>
      </c>
      <c r="C89" s="60"/>
      <c r="D89" s="66">
        <v>161.9</v>
      </c>
      <c r="E89" s="66">
        <v>168.4</v>
      </c>
      <c r="F89" s="66">
        <v>218</v>
      </c>
      <c r="G89" s="66">
        <v>226</v>
      </c>
      <c r="H89" s="66"/>
      <c r="I89" s="60"/>
      <c r="J89" s="60"/>
      <c r="K89" s="60">
        <v>75</v>
      </c>
      <c r="L89" s="60"/>
      <c r="M89" s="66">
        <v>194.9</v>
      </c>
      <c r="N89" s="66">
        <v>196.5</v>
      </c>
      <c r="O89" s="66">
        <v>246.2</v>
      </c>
      <c r="P89" s="66">
        <v>254.2</v>
      </c>
    </row>
    <row r="90" spans="1:16" ht="12.75">
      <c r="A90" s="60"/>
      <c r="B90" s="60">
        <v>76</v>
      </c>
      <c r="C90" s="60"/>
      <c r="D90" s="66">
        <v>155.9</v>
      </c>
      <c r="E90" s="66">
        <v>156.1</v>
      </c>
      <c r="F90" s="66">
        <v>208.5</v>
      </c>
      <c r="G90" s="66">
        <v>219.1</v>
      </c>
      <c r="H90" s="66"/>
      <c r="I90" s="60"/>
      <c r="J90" s="60"/>
      <c r="K90" s="60">
        <v>76</v>
      </c>
      <c r="L90" s="60"/>
      <c r="M90" s="66">
        <v>194</v>
      </c>
      <c r="N90" s="66">
        <v>186.8</v>
      </c>
      <c r="O90" s="66">
        <v>236.3</v>
      </c>
      <c r="P90" s="66">
        <v>248.6</v>
      </c>
    </row>
    <row r="91" spans="1:16" ht="12.75">
      <c r="A91" s="60"/>
      <c r="B91" s="60">
        <v>77</v>
      </c>
      <c r="C91" s="60"/>
      <c r="D91" s="66">
        <v>146.4</v>
      </c>
      <c r="E91" s="66">
        <v>148.7</v>
      </c>
      <c r="F91" s="66">
        <v>194.8</v>
      </c>
      <c r="G91" s="66">
        <v>214</v>
      </c>
      <c r="H91" s="66"/>
      <c r="I91" s="60"/>
      <c r="J91" s="60"/>
      <c r="K91" s="60">
        <v>77</v>
      </c>
      <c r="L91" s="60"/>
      <c r="M91" s="66">
        <v>188.2</v>
      </c>
      <c r="N91" s="66">
        <v>181.8</v>
      </c>
      <c r="O91" s="66">
        <v>223.5</v>
      </c>
      <c r="P91" s="66">
        <v>244.9</v>
      </c>
    </row>
    <row r="92" spans="1:16" ht="12.75">
      <c r="A92" s="60"/>
      <c r="B92" s="60">
        <v>78</v>
      </c>
      <c r="C92" s="60"/>
      <c r="D92" s="66">
        <v>135.3</v>
      </c>
      <c r="E92" s="66">
        <v>142.4</v>
      </c>
      <c r="F92" s="66">
        <v>171.5</v>
      </c>
      <c r="G92" s="66">
        <v>212.3</v>
      </c>
      <c r="H92" s="66"/>
      <c r="I92" s="60"/>
      <c r="J92" s="60"/>
      <c r="K92" s="60">
        <v>78</v>
      </c>
      <c r="L92" s="60"/>
      <c r="M92" s="66">
        <v>178.7</v>
      </c>
      <c r="N92" s="66">
        <v>178.4</v>
      </c>
      <c r="O92" s="66">
        <v>199.8</v>
      </c>
      <c r="P92" s="66">
        <v>247</v>
      </c>
    </row>
    <row r="93" spans="1:16" ht="12.75">
      <c r="A93" s="60"/>
      <c r="B93" s="60">
        <v>79</v>
      </c>
      <c r="C93" s="60"/>
      <c r="D93" s="66">
        <v>124.4</v>
      </c>
      <c r="E93" s="66">
        <v>134.9</v>
      </c>
      <c r="F93" s="66">
        <v>154.2</v>
      </c>
      <c r="G93" s="66">
        <v>212.5</v>
      </c>
      <c r="H93" s="66"/>
      <c r="I93" s="60"/>
      <c r="J93" s="60"/>
      <c r="K93" s="60">
        <v>79</v>
      </c>
      <c r="L93" s="60"/>
      <c r="M93" s="66">
        <v>168.4</v>
      </c>
      <c r="N93" s="66">
        <v>175.4</v>
      </c>
      <c r="O93" s="66">
        <v>181.7</v>
      </c>
      <c r="P93" s="66">
        <v>248.9</v>
      </c>
    </row>
    <row r="94" spans="1:16" ht="12.75">
      <c r="A94" s="60"/>
      <c r="B94" s="60">
        <v>80</v>
      </c>
      <c r="C94" s="60"/>
      <c r="D94" s="66">
        <v>116.2</v>
      </c>
      <c r="E94" s="66">
        <v>124.4</v>
      </c>
      <c r="F94" s="66">
        <v>151.7</v>
      </c>
      <c r="G94" s="66">
        <v>219.2</v>
      </c>
      <c r="H94" s="66"/>
      <c r="I94" s="60"/>
      <c r="J94" s="60"/>
      <c r="K94" s="60">
        <v>80</v>
      </c>
      <c r="L94" s="60"/>
      <c r="M94" s="66">
        <v>162.5</v>
      </c>
      <c r="N94" s="66">
        <v>167.9</v>
      </c>
      <c r="O94" s="66">
        <v>182.5</v>
      </c>
      <c r="P94" s="66">
        <v>259</v>
      </c>
    </row>
    <row r="95" spans="1:16" ht="12.75">
      <c r="A95" s="60"/>
      <c r="B95" s="60">
        <v>81</v>
      </c>
      <c r="C95" s="60"/>
      <c r="D95" s="66">
        <v>106.8</v>
      </c>
      <c r="E95" s="66">
        <v>112.8</v>
      </c>
      <c r="F95" s="66">
        <v>146.3</v>
      </c>
      <c r="G95" s="66">
        <v>222.8</v>
      </c>
      <c r="H95" s="66"/>
      <c r="I95" s="60"/>
      <c r="J95" s="60"/>
      <c r="K95" s="60">
        <v>81</v>
      </c>
      <c r="L95" s="60"/>
      <c r="M95" s="66">
        <v>155.9</v>
      </c>
      <c r="N95" s="66">
        <v>157.1</v>
      </c>
      <c r="O95" s="66">
        <v>178.8</v>
      </c>
      <c r="P95" s="66">
        <v>265.7</v>
      </c>
    </row>
    <row r="96" spans="1:16" ht="12.75">
      <c r="A96" s="60"/>
      <c r="B96" s="60">
        <v>82</v>
      </c>
      <c r="C96" s="60"/>
      <c r="D96" s="66">
        <v>96.5</v>
      </c>
      <c r="E96" s="66">
        <v>101.8</v>
      </c>
      <c r="F96" s="66">
        <v>137.7</v>
      </c>
      <c r="G96" s="66">
        <v>180.4</v>
      </c>
      <c r="H96" s="66"/>
      <c r="I96" s="60"/>
      <c r="J96" s="60"/>
      <c r="K96" s="60">
        <v>82</v>
      </c>
      <c r="L96" s="60"/>
      <c r="M96" s="66">
        <v>147.4</v>
      </c>
      <c r="N96" s="66">
        <v>145.8</v>
      </c>
      <c r="O96" s="66">
        <v>171.2</v>
      </c>
      <c r="P96" s="66">
        <v>218.9</v>
      </c>
    </row>
    <row r="97" spans="1:16" ht="12.75">
      <c r="A97" s="60"/>
      <c r="B97" s="60">
        <v>83</v>
      </c>
      <c r="C97" s="60"/>
      <c r="D97" s="66">
        <v>86.2</v>
      </c>
      <c r="E97" s="66">
        <v>93.1</v>
      </c>
      <c r="F97" s="66">
        <v>126.6</v>
      </c>
      <c r="G97" s="66">
        <v>162.2</v>
      </c>
      <c r="H97" s="66"/>
      <c r="I97" s="60"/>
      <c r="J97" s="60"/>
      <c r="K97" s="60">
        <v>83</v>
      </c>
      <c r="L97" s="60"/>
      <c r="M97" s="66">
        <v>139.1</v>
      </c>
      <c r="N97" s="66">
        <v>138.2</v>
      </c>
      <c r="O97" s="66">
        <v>160.9</v>
      </c>
      <c r="P97" s="66">
        <v>199.1</v>
      </c>
    </row>
    <row r="98" spans="1:16" ht="12.75">
      <c r="A98" s="60"/>
      <c r="B98" s="60">
        <v>84</v>
      </c>
      <c r="C98" s="60"/>
      <c r="D98" s="66">
        <v>77.1</v>
      </c>
      <c r="E98" s="66">
        <v>83.7</v>
      </c>
      <c r="F98" s="66">
        <v>114.9</v>
      </c>
      <c r="G98" s="66">
        <v>150.5</v>
      </c>
      <c r="H98" s="66"/>
      <c r="I98" s="60"/>
      <c r="J98" s="60"/>
      <c r="K98" s="60">
        <v>84</v>
      </c>
      <c r="L98" s="60"/>
      <c r="M98" s="66">
        <v>131</v>
      </c>
      <c r="N98" s="66">
        <v>130</v>
      </c>
      <c r="O98" s="66">
        <v>149.1</v>
      </c>
      <c r="P98" s="66">
        <v>186.3</v>
      </c>
    </row>
    <row r="99" spans="1:16" ht="12.75">
      <c r="A99" s="60"/>
      <c r="B99" s="67" t="s">
        <v>95</v>
      </c>
      <c r="C99" s="67"/>
      <c r="D99" s="66">
        <v>344.9</v>
      </c>
      <c r="E99" s="66">
        <v>395.5</v>
      </c>
      <c r="F99" s="66">
        <v>625.3</v>
      </c>
      <c r="G99" s="66">
        <v>894.3</v>
      </c>
      <c r="H99" s="66"/>
      <c r="I99" s="60" t="s">
        <v>101</v>
      </c>
      <c r="J99" s="60"/>
      <c r="K99" s="67" t="s">
        <v>95</v>
      </c>
      <c r="L99" s="67"/>
      <c r="M99" s="66">
        <v>755.7</v>
      </c>
      <c r="N99" s="66">
        <v>792.8</v>
      </c>
      <c r="O99" s="66">
        <v>960.8</v>
      </c>
      <c r="P99" s="66">
        <v>1241.3</v>
      </c>
    </row>
    <row r="100" spans="1:16" ht="12.75">
      <c r="A100" s="60"/>
      <c r="B100" s="67"/>
      <c r="C100" s="67"/>
      <c r="D100" s="66"/>
      <c r="E100" s="66"/>
      <c r="F100" s="66"/>
      <c r="G100" s="66"/>
      <c r="H100" s="66"/>
      <c r="I100" s="60"/>
      <c r="J100" s="60"/>
      <c r="K100" s="67"/>
      <c r="L100" s="67"/>
      <c r="M100" s="66"/>
      <c r="N100" s="66"/>
      <c r="O100" s="66"/>
      <c r="P100" s="66"/>
    </row>
    <row r="101" spans="8:16" ht="12.75">
      <c r="H101" s="66"/>
      <c r="I101" s="60"/>
      <c r="J101" s="60"/>
      <c r="K101" s="67"/>
      <c r="L101" s="67"/>
      <c r="M101" s="66"/>
      <c r="N101" s="66"/>
      <c r="O101" s="66"/>
      <c r="P101" s="66"/>
    </row>
    <row r="102" spans="8:10" ht="12.75">
      <c r="H102" s="66"/>
      <c r="I102" s="60"/>
      <c r="J102" s="60"/>
    </row>
    <row r="103" spans="8:10" ht="12.75">
      <c r="H103" s="66"/>
      <c r="I103" s="60"/>
      <c r="J103" s="60"/>
    </row>
    <row r="104" spans="8:10" ht="12.75">
      <c r="H104" s="60"/>
      <c r="I104" s="60"/>
      <c r="J104" s="60"/>
    </row>
    <row r="105" spans="8:10" ht="12.75">
      <c r="H105" s="60"/>
      <c r="I105" s="60"/>
      <c r="J105" s="60"/>
    </row>
    <row r="106" spans="8:10" ht="12.75">
      <c r="H106" s="66"/>
      <c r="I106" s="60"/>
      <c r="J106" s="60"/>
    </row>
    <row r="107" spans="8:10" ht="12.75">
      <c r="H107" s="66"/>
      <c r="I107" s="60"/>
      <c r="J107" s="60"/>
    </row>
    <row r="108" spans="8:10" ht="12.75">
      <c r="H108" s="66"/>
      <c r="I108" s="60"/>
      <c r="J108" s="60"/>
    </row>
    <row r="109" spans="8:10" ht="12.75">
      <c r="H109" s="66"/>
      <c r="I109" s="60"/>
      <c r="J109" s="60"/>
    </row>
    <row r="110" spans="8:16" ht="12.75">
      <c r="H110" s="66"/>
      <c r="I110" s="60"/>
      <c r="J110" s="60"/>
      <c r="K110" s="67"/>
      <c r="L110" s="60"/>
      <c r="M110" s="52"/>
      <c r="N110" s="52"/>
      <c r="O110" s="52"/>
      <c r="P110" s="52"/>
    </row>
    <row r="111" spans="8:13" ht="12.75">
      <c r="H111" s="66"/>
      <c r="I111" s="60"/>
      <c r="J111" s="60"/>
      <c r="K111" s="60"/>
      <c r="L111" s="60"/>
      <c r="M111" s="60"/>
    </row>
    <row r="112" spans="8:13" ht="12.75">
      <c r="H112" s="66"/>
      <c r="I112" s="60"/>
      <c r="J112" s="60"/>
      <c r="K112" s="60"/>
      <c r="L112" s="60"/>
      <c r="M112" s="60"/>
    </row>
    <row r="113" spans="8:20" ht="12.75"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8:20" ht="12.75"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8:20" ht="12.75"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8:13" ht="12.75">
      <c r="H116" s="66"/>
      <c r="I116" s="60"/>
      <c r="J116" s="60"/>
      <c r="K116" s="60"/>
      <c r="L116" s="60"/>
      <c r="M116" s="60"/>
    </row>
    <row r="117" spans="8:13" ht="12.75">
      <c r="H117" s="66"/>
      <c r="I117" s="60"/>
      <c r="J117" s="60"/>
      <c r="K117" s="60"/>
      <c r="L117" s="60"/>
      <c r="M117" s="60"/>
    </row>
    <row r="118" spans="8:13" ht="12.75">
      <c r="H118" s="66"/>
      <c r="I118" s="60"/>
      <c r="J118" s="60"/>
      <c r="K118" s="60"/>
      <c r="L118" s="60"/>
      <c r="M118" s="60"/>
    </row>
    <row r="119" spans="8:13" ht="12.75">
      <c r="H119" s="66"/>
      <c r="I119" s="60"/>
      <c r="J119" s="60"/>
      <c r="K119" s="60"/>
      <c r="L119" s="60"/>
      <c r="M119" s="60"/>
    </row>
    <row r="120" spans="8:13" ht="12.75">
      <c r="H120" s="66"/>
      <c r="I120" s="60"/>
      <c r="J120" s="60"/>
      <c r="K120" s="60"/>
      <c r="L120" s="60"/>
      <c r="M120" s="60"/>
    </row>
    <row r="121" spans="8:13" ht="12.75">
      <c r="H121" s="66"/>
      <c r="I121" s="60"/>
      <c r="J121" s="60"/>
      <c r="K121" s="60"/>
      <c r="L121" s="60"/>
      <c r="M121" s="60"/>
    </row>
    <row r="122" spans="8:13" ht="12.75">
      <c r="H122" s="66"/>
      <c r="I122" s="60"/>
      <c r="J122" s="60"/>
      <c r="K122" s="60"/>
      <c r="L122" s="60"/>
      <c r="M122" s="60"/>
    </row>
    <row r="123" spans="8:13" ht="12.75">
      <c r="H123" s="66"/>
      <c r="I123" s="60"/>
      <c r="J123" s="60"/>
      <c r="K123" s="60"/>
      <c r="L123" s="60"/>
      <c r="M123" s="60"/>
    </row>
    <row r="124" spans="8:13" ht="12.75">
      <c r="H124" s="66"/>
      <c r="I124" s="60"/>
      <c r="J124" s="60"/>
      <c r="K124" s="60"/>
      <c r="L124" s="60"/>
      <c r="M124" s="60"/>
    </row>
    <row r="125" spans="8:13" ht="12.75">
      <c r="H125" s="66"/>
      <c r="I125" s="60"/>
      <c r="J125" s="60"/>
      <c r="K125" s="60"/>
      <c r="L125" s="60"/>
      <c r="M125" s="60"/>
    </row>
    <row r="126" spans="8:13" ht="12.75">
      <c r="H126" s="66"/>
      <c r="I126" s="60"/>
      <c r="J126" s="60"/>
      <c r="K126" s="60"/>
      <c r="L126" s="60"/>
      <c r="M126" s="60"/>
    </row>
    <row r="127" spans="8:13" ht="12.75">
      <c r="H127" s="66"/>
      <c r="I127" s="60"/>
      <c r="J127" s="60"/>
      <c r="K127" s="60"/>
      <c r="L127" s="60"/>
      <c r="M127" s="60"/>
    </row>
    <row r="128" spans="8:13" ht="12.75">
      <c r="H128" s="66"/>
      <c r="I128" s="60"/>
      <c r="J128" s="60"/>
      <c r="K128" s="60"/>
      <c r="L128" s="60"/>
      <c r="M128" s="60"/>
    </row>
    <row r="129" spans="8:13" ht="12.75">
      <c r="H129" s="66"/>
      <c r="I129" s="60"/>
      <c r="J129" s="60"/>
      <c r="K129" s="60"/>
      <c r="L129" s="60"/>
      <c r="M129" s="60"/>
    </row>
    <row r="130" spans="8:13" ht="12.75">
      <c r="H130" s="66"/>
      <c r="I130" s="60"/>
      <c r="J130" s="60"/>
      <c r="K130" s="60"/>
      <c r="L130" s="60"/>
      <c r="M130" s="60"/>
    </row>
    <row r="131" spans="8:13" ht="12.75">
      <c r="H131" s="66"/>
      <c r="I131" s="60"/>
      <c r="J131" s="60"/>
      <c r="K131" s="60"/>
      <c r="L131" s="60"/>
      <c r="M131" s="60"/>
    </row>
    <row r="132" spans="8:13" ht="12.75">
      <c r="H132" s="66"/>
      <c r="I132" s="60"/>
      <c r="J132" s="60"/>
      <c r="K132" s="60"/>
      <c r="L132" s="60"/>
      <c r="M132" s="60"/>
    </row>
    <row r="133" spans="8:13" ht="12.75">
      <c r="H133" s="66"/>
      <c r="I133" s="60"/>
      <c r="J133" s="60"/>
      <c r="K133" s="60"/>
      <c r="L133" s="60"/>
      <c r="M133" s="60"/>
    </row>
    <row r="134" spans="8:13" ht="12.75">
      <c r="H134" s="66"/>
      <c r="I134" s="60"/>
      <c r="J134" s="60"/>
      <c r="K134" s="60"/>
      <c r="L134" s="60"/>
      <c r="M134" s="60"/>
    </row>
    <row r="135" spans="8:13" ht="12.75">
      <c r="H135" s="66"/>
      <c r="I135" s="60"/>
      <c r="J135" s="60"/>
      <c r="K135" s="60"/>
      <c r="L135" s="60"/>
      <c r="M135" s="60"/>
    </row>
    <row r="136" spans="8:13" ht="12.75">
      <c r="H136" s="66"/>
      <c r="I136" s="60"/>
      <c r="J136" s="60"/>
      <c r="K136" s="60"/>
      <c r="L136" s="60"/>
      <c r="M136" s="60"/>
    </row>
    <row r="137" spans="8:13" ht="12.75">
      <c r="H137" s="66"/>
      <c r="I137" s="60"/>
      <c r="J137" s="60"/>
      <c r="K137" s="60"/>
      <c r="L137" s="60"/>
      <c r="M137" s="60"/>
    </row>
    <row r="138" spans="8:13" ht="12.75">
      <c r="H138" s="66"/>
      <c r="I138" s="60"/>
      <c r="J138" s="60"/>
      <c r="K138" s="60"/>
      <c r="L138" s="60"/>
      <c r="M138" s="60"/>
    </row>
    <row r="139" spans="8:13" ht="12.75">
      <c r="H139" s="66"/>
      <c r="I139" s="60"/>
      <c r="J139" s="60"/>
      <c r="K139" s="60"/>
      <c r="L139" s="60"/>
      <c r="M139" s="60"/>
    </row>
    <row r="140" spans="8:13" ht="12.75">
      <c r="H140" s="66"/>
      <c r="I140" s="60"/>
      <c r="J140" s="60"/>
      <c r="K140" s="60"/>
      <c r="L140" s="60"/>
      <c r="M140" s="60"/>
    </row>
    <row r="141" spans="8:13" ht="12.75">
      <c r="H141" s="66"/>
      <c r="I141" s="60"/>
      <c r="J141" s="60"/>
      <c r="K141" s="60"/>
      <c r="L141" s="60"/>
      <c r="M141" s="60"/>
    </row>
    <row r="142" spans="8:13" ht="12.75">
      <c r="H142" s="66"/>
      <c r="I142" s="60"/>
      <c r="J142" s="60"/>
      <c r="K142" s="60"/>
      <c r="L142" s="60"/>
      <c r="M142" s="60"/>
    </row>
    <row r="143" spans="8:13" ht="12.75">
      <c r="H143" s="66"/>
      <c r="I143" s="60"/>
      <c r="J143" s="60"/>
      <c r="K143" s="60"/>
      <c r="L143" s="60"/>
      <c r="M143" s="60"/>
    </row>
    <row r="144" spans="8:13" ht="12.75">
      <c r="H144" s="66"/>
      <c r="I144" s="60"/>
      <c r="J144" s="60"/>
      <c r="K144" s="60"/>
      <c r="L144" s="60"/>
      <c r="M144" s="60"/>
    </row>
    <row r="145" spans="8:13" ht="12.75">
      <c r="H145" s="66"/>
      <c r="I145" s="60"/>
      <c r="J145" s="60"/>
      <c r="K145" s="60"/>
      <c r="L145" s="60"/>
      <c r="M145" s="60"/>
    </row>
    <row r="146" spans="8:13" ht="12.75">
      <c r="H146" s="66"/>
      <c r="I146" s="60"/>
      <c r="J146" s="60"/>
      <c r="K146" s="60"/>
      <c r="L146" s="60"/>
      <c r="M146" s="60"/>
    </row>
    <row r="147" spans="8:13" ht="12.75">
      <c r="H147" s="66"/>
      <c r="I147" s="60"/>
      <c r="J147" s="60"/>
      <c r="K147" s="60"/>
      <c r="L147" s="60"/>
      <c r="M147" s="60"/>
    </row>
    <row r="148" spans="8:13" ht="12.75">
      <c r="H148" s="66"/>
      <c r="I148" s="60"/>
      <c r="J148" s="60"/>
      <c r="K148" s="60"/>
      <c r="L148" s="60"/>
      <c r="M148" s="60"/>
    </row>
    <row r="149" spans="8:13" ht="12.75">
      <c r="H149" s="66"/>
      <c r="I149" s="60"/>
      <c r="J149" s="60"/>
      <c r="K149" s="60"/>
      <c r="L149" s="60"/>
      <c r="M149" s="60"/>
    </row>
    <row r="150" spans="8:13" ht="12.75">
      <c r="H150" s="66"/>
      <c r="I150" s="60"/>
      <c r="J150" s="60"/>
      <c r="K150" s="60"/>
      <c r="L150" s="60"/>
      <c r="M150" s="60"/>
    </row>
    <row r="151" spans="8:13" ht="12.75">
      <c r="H151" s="66"/>
      <c r="I151" s="60"/>
      <c r="J151" s="60"/>
      <c r="K151" s="60"/>
      <c r="L151" s="60"/>
      <c r="M151" s="60"/>
    </row>
    <row r="152" spans="8:13" ht="12.75">
      <c r="H152" s="66"/>
      <c r="I152" s="60"/>
      <c r="J152" s="60"/>
      <c r="K152" s="60"/>
      <c r="L152" s="60"/>
      <c r="M152" s="60"/>
    </row>
    <row r="153" spans="8:13" ht="12.75">
      <c r="H153" s="66"/>
      <c r="I153" s="60"/>
      <c r="J153" s="60"/>
      <c r="K153" s="60"/>
      <c r="L153" s="60"/>
      <c r="M153" s="60"/>
    </row>
    <row r="154" spans="8:13" ht="12.75">
      <c r="H154" s="66"/>
      <c r="I154" s="60"/>
      <c r="J154" s="60"/>
      <c r="K154" s="60"/>
      <c r="L154" s="60"/>
      <c r="M154" s="60"/>
    </row>
    <row r="155" spans="8:13" ht="12.75">
      <c r="H155" s="66"/>
      <c r="I155" s="60"/>
      <c r="J155" s="60"/>
      <c r="K155" s="60"/>
      <c r="L155" s="60"/>
      <c r="M155" s="60"/>
    </row>
    <row r="156" spans="8:13" ht="12.75">
      <c r="H156" s="66"/>
      <c r="I156" s="60"/>
      <c r="J156" s="60"/>
      <c r="K156" s="60"/>
      <c r="L156" s="60"/>
      <c r="M156" s="60"/>
    </row>
    <row r="157" spans="8:13" ht="12.75">
      <c r="H157" s="66"/>
      <c r="I157" s="60"/>
      <c r="J157" s="60"/>
      <c r="K157" s="60"/>
      <c r="L157" s="60"/>
      <c r="M157" s="60"/>
    </row>
    <row r="158" spans="1:13" ht="12.75">
      <c r="A158" s="60"/>
      <c r="B158" s="60"/>
      <c r="C158" s="60"/>
      <c r="D158" s="66"/>
      <c r="E158" s="66"/>
      <c r="F158" s="66"/>
      <c r="G158" s="66"/>
      <c r="H158" s="60"/>
      <c r="I158" s="60"/>
      <c r="J158" s="60"/>
      <c r="K158" s="60"/>
      <c r="L158" s="60"/>
      <c r="M158" s="60"/>
    </row>
  </sheetData>
  <sheetProtection/>
  <mergeCells count="2">
    <mergeCell ref="A8:A15"/>
    <mergeCell ref="A16:A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S10">
      <selection activeCell="AC40" sqref="AC40"/>
    </sheetView>
  </sheetViews>
  <sheetFormatPr defaultColWidth="9.140625" defaultRowHeight="12.75"/>
  <cols>
    <col min="1" max="1" width="12.140625" style="0" customWidth="1"/>
    <col min="3" max="3" width="10.57421875" style="0" customWidth="1"/>
    <col min="10" max="10" width="13.140625" style="0" customWidth="1"/>
  </cols>
  <sheetData>
    <row r="1" ht="12.75">
      <c r="A1" s="4" t="s">
        <v>49</v>
      </c>
    </row>
    <row r="2" spans="1:12" ht="27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6" spans="1:12" ht="25.5">
      <c r="A6" s="16" t="s">
        <v>18</v>
      </c>
      <c r="B6" s="6" t="s">
        <v>1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7" t="s">
        <v>10</v>
      </c>
      <c r="K6" s="7" t="s">
        <v>2</v>
      </c>
      <c r="L6" s="6" t="s">
        <v>0</v>
      </c>
    </row>
    <row r="8" spans="1:12" ht="12.75">
      <c r="A8">
        <v>1986</v>
      </c>
      <c r="B8" s="1">
        <v>599603</v>
      </c>
      <c r="C8" s="1">
        <v>4290</v>
      </c>
      <c r="D8" s="1">
        <v>13091</v>
      </c>
      <c r="E8" s="1">
        <v>6115</v>
      </c>
      <c r="F8" s="1">
        <v>21802</v>
      </c>
      <c r="G8" s="1">
        <v>9119</v>
      </c>
      <c r="H8" s="1">
        <v>4176</v>
      </c>
      <c r="I8" s="1">
        <v>1399</v>
      </c>
      <c r="J8">
        <v>501</v>
      </c>
      <c r="K8">
        <v>922</v>
      </c>
      <c r="L8" s="1">
        <v>661018</v>
      </c>
    </row>
    <row r="9" spans="1:12" ht="12.75">
      <c r="A9">
        <v>1987</v>
      </c>
      <c r="B9" s="1">
        <v>618478</v>
      </c>
      <c r="C9" s="1">
        <v>4360</v>
      </c>
      <c r="D9" s="1">
        <v>13630</v>
      </c>
      <c r="E9" s="1">
        <v>6068</v>
      </c>
      <c r="F9" s="1">
        <v>22498</v>
      </c>
      <c r="G9" s="1">
        <v>9306</v>
      </c>
      <c r="H9" s="1">
        <v>4206</v>
      </c>
      <c r="I9" s="1">
        <v>1463</v>
      </c>
      <c r="J9">
        <v>530</v>
      </c>
      <c r="K9">
        <v>972</v>
      </c>
      <c r="L9" s="1">
        <v>681511</v>
      </c>
    </row>
    <row r="10" spans="1:12" ht="12.75">
      <c r="A10">
        <v>1988</v>
      </c>
      <c r="B10" s="1">
        <v>629601</v>
      </c>
      <c r="C10" s="1">
        <v>4447</v>
      </c>
      <c r="D10" s="1">
        <v>14154</v>
      </c>
      <c r="E10" s="1">
        <v>6287</v>
      </c>
      <c r="F10" s="1">
        <v>22657</v>
      </c>
      <c r="G10" s="1">
        <v>9291</v>
      </c>
      <c r="H10" s="1">
        <v>4123</v>
      </c>
      <c r="I10" s="1">
        <v>1409</v>
      </c>
      <c r="J10">
        <v>752</v>
      </c>
      <c r="K10">
        <v>856</v>
      </c>
      <c r="L10" s="1">
        <v>693577</v>
      </c>
    </row>
    <row r="11" spans="1:12" ht="12.75">
      <c r="A11">
        <v>1989</v>
      </c>
      <c r="B11" s="1">
        <v>624420</v>
      </c>
      <c r="C11" s="1">
        <v>4623</v>
      </c>
      <c r="D11" s="1">
        <v>14731</v>
      </c>
      <c r="E11" s="1">
        <v>5740</v>
      </c>
      <c r="F11" s="1">
        <v>22585</v>
      </c>
      <c r="G11" s="1">
        <v>9038</v>
      </c>
      <c r="H11" s="1">
        <v>3799</v>
      </c>
      <c r="I11" s="1">
        <v>1248</v>
      </c>
      <c r="J11">
        <v>645</v>
      </c>
      <c r="K11">
        <v>896</v>
      </c>
      <c r="L11" s="1">
        <v>687725</v>
      </c>
    </row>
    <row r="12" spans="1:12" ht="12.75">
      <c r="A12">
        <v>1990</v>
      </c>
      <c r="B12" s="1">
        <v>641036</v>
      </c>
      <c r="C12" s="1">
        <v>4720</v>
      </c>
      <c r="D12" s="1">
        <v>15287</v>
      </c>
      <c r="E12" s="1">
        <v>6259</v>
      </c>
      <c r="F12" s="1">
        <v>23155</v>
      </c>
      <c r="G12" s="1">
        <v>9187</v>
      </c>
      <c r="H12" s="1">
        <v>3800</v>
      </c>
      <c r="I12" s="1">
        <v>1220</v>
      </c>
      <c r="J12">
        <v>580</v>
      </c>
      <c r="K12">
        <v>896</v>
      </c>
      <c r="L12" s="1">
        <v>706140</v>
      </c>
    </row>
    <row r="13" spans="1:12" ht="12.75">
      <c r="A13">
        <v>1991</v>
      </c>
      <c r="B13" s="1">
        <v>634800</v>
      </c>
      <c r="C13" s="1">
        <v>4518</v>
      </c>
      <c r="D13" s="1">
        <v>15459</v>
      </c>
      <c r="E13" s="1">
        <v>6132</v>
      </c>
      <c r="F13" s="1">
        <v>22856</v>
      </c>
      <c r="G13" s="1">
        <v>8618</v>
      </c>
      <c r="H13" s="1">
        <v>3855</v>
      </c>
      <c r="I13" s="1">
        <v>1177</v>
      </c>
      <c r="J13">
        <v>768</v>
      </c>
      <c r="K13" s="1">
        <v>1034</v>
      </c>
      <c r="L13" s="1">
        <v>699217</v>
      </c>
    </row>
    <row r="14" spans="1:12" ht="12.75">
      <c r="A14" s="12" t="s">
        <v>12</v>
      </c>
      <c r="B14" s="13">
        <f>+(B13+B15)/2</f>
        <v>622963</v>
      </c>
      <c r="C14" s="13">
        <f aca="true" t="shared" si="0" ref="C14:L14">+(C13+C15)/2</f>
        <v>4551.5</v>
      </c>
      <c r="D14" s="13">
        <f t="shared" si="0"/>
        <v>15194</v>
      </c>
      <c r="E14" s="13">
        <f t="shared" si="0"/>
        <v>6198</v>
      </c>
      <c r="F14" s="13">
        <f t="shared" si="0"/>
        <v>21685</v>
      </c>
      <c r="G14" s="13">
        <f t="shared" si="0"/>
        <v>8819</v>
      </c>
      <c r="H14" s="13">
        <f t="shared" si="0"/>
        <v>3750</v>
      </c>
      <c r="I14" s="13">
        <f t="shared" si="0"/>
        <v>1142.5</v>
      </c>
      <c r="J14" s="13">
        <f t="shared" si="0"/>
        <v>803.5</v>
      </c>
      <c r="K14" s="13">
        <f t="shared" si="0"/>
        <v>1235.5</v>
      </c>
      <c r="L14" s="13">
        <f t="shared" si="0"/>
        <v>686342</v>
      </c>
    </row>
    <row r="15" spans="1:12" ht="12.75">
      <c r="A15">
        <v>1993</v>
      </c>
      <c r="B15" s="1">
        <v>611126</v>
      </c>
      <c r="C15" s="1">
        <v>4585</v>
      </c>
      <c r="D15" s="1">
        <v>14929</v>
      </c>
      <c r="E15" s="1">
        <v>6264</v>
      </c>
      <c r="F15" s="1">
        <v>20514</v>
      </c>
      <c r="G15" s="1">
        <v>9020</v>
      </c>
      <c r="H15" s="1">
        <v>3645</v>
      </c>
      <c r="I15" s="1">
        <v>1108</v>
      </c>
      <c r="J15">
        <v>839</v>
      </c>
      <c r="K15" s="1">
        <v>1437</v>
      </c>
      <c r="L15" s="1">
        <v>673467</v>
      </c>
    </row>
    <row r="16" spans="1:12" ht="12.75">
      <c r="A16">
        <v>1994</v>
      </c>
      <c r="B16" s="1">
        <v>603130</v>
      </c>
      <c r="C16" s="1">
        <v>4645</v>
      </c>
      <c r="D16" s="1">
        <v>14979</v>
      </c>
      <c r="E16" s="1">
        <v>6305</v>
      </c>
      <c r="F16" s="1">
        <v>20117</v>
      </c>
      <c r="G16" s="1">
        <v>8793</v>
      </c>
      <c r="H16" s="1">
        <v>3604</v>
      </c>
      <c r="I16" s="1">
        <v>1047</v>
      </c>
      <c r="J16">
        <v>568</v>
      </c>
      <c r="K16" s="1">
        <v>1538</v>
      </c>
      <c r="L16" s="1">
        <v>664726</v>
      </c>
    </row>
    <row r="17" spans="1:12" ht="12.75">
      <c r="A17">
        <v>1995</v>
      </c>
      <c r="B17" s="1">
        <v>588167</v>
      </c>
      <c r="C17" s="1">
        <v>4546</v>
      </c>
      <c r="D17" s="1">
        <v>14770</v>
      </c>
      <c r="E17" s="1">
        <v>6113</v>
      </c>
      <c r="F17" s="1">
        <v>19236</v>
      </c>
      <c r="G17" s="1">
        <v>8744</v>
      </c>
      <c r="H17" s="1">
        <v>3423</v>
      </c>
      <c r="I17" s="1">
        <v>1014</v>
      </c>
      <c r="J17">
        <v>406</v>
      </c>
      <c r="K17" s="1">
        <v>1719</v>
      </c>
      <c r="L17" s="1">
        <v>648138</v>
      </c>
    </row>
    <row r="18" spans="1:12" ht="12.75">
      <c r="A18">
        <v>1996</v>
      </c>
      <c r="B18" s="1">
        <v>589505</v>
      </c>
      <c r="C18" s="1">
        <v>4464</v>
      </c>
      <c r="D18" s="1">
        <v>15109</v>
      </c>
      <c r="E18" s="1">
        <v>6159</v>
      </c>
      <c r="F18" s="1">
        <v>18900</v>
      </c>
      <c r="G18" s="1">
        <v>9187</v>
      </c>
      <c r="H18" s="1">
        <v>3105</v>
      </c>
      <c r="I18">
        <v>918</v>
      </c>
      <c r="J18">
        <v>216</v>
      </c>
      <c r="K18" s="1">
        <v>1922</v>
      </c>
      <c r="L18" s="1">
        <v>649485</v>
      </c>
    </row>
    <row r="19" spans="1:12" ht="12.75">
      <c r="A19">
        <v>1997</v>
      </c>
      <c r="B19" s="1">
        <v>584034</v>
      </c>
      <c r="C19" s="1">
        <v>4358</v>
      </c>
      <c r="D19" s="1">
        <v>15594</v>
      </c>
      <c r="E19" s="1">
        <v>5803</v>
      </c>
      <c r="F19" s="1">
        <v>18138</v>
      </c>
      <c r="G19" s="1">
        <v>9000</v>
      </c>
      <c r="H19" s="1">
        <v>3162</v>
      </c>
      <c r="I19">
        <v>822</v>
      </c>
      <c r="J19">
        <v>254</v>
      </c>
      <c r="K19" s="1">
        <v>1930</v>
      </c>
      <c r="L19" s="1">
        <v>643095</v>
      </c>
    </row>
    <row r="20" spans="1:12" ht="12.75">
      <c r="A20">
        <v>1998</v>
      </c>
      <c r="B20" s="1">
        <v>577275</v>
      </c>
      <c r="C20" s="1">
        <v>4493</v>
      </c>
      <c r="D20" s="1">
        <v>15823</v>
      </c>
      <c r="E20" s="1">
        <v>5715</v>
      </c>
      <c r="F20" s="1">
        <v>17567</v>
      </c>
      <c r="G20" s="1">
        <v>9044</v>
      </c>
      <c r="H20" s="1">
        <v>3053</v>
      </c>
      <c r="I20">
        <v>797</v>
      </c>
      <c r="J20">
        <v>319</v>
      </c>
      <c r="K20" s="1">
        <v>1815</v>
      </c>
      <c r="L20" s="1">
        <v>635901</v>
      </c>
    </row>
    <row r="21" spans="1:12" ht="12.75">
      <c r="A21">
        <v>1999</v>
      </c>
      <c r="B21" s="1">
        <v>564456</v>
      </c>
      <c r="C21" s="1">
        <v>4595</v>
      </c>
      <c r="D21" s="1">
        <v>16147</v>
      </c>
      <c r="E21" s="1">
        <v>5511</v>
      </c>
      <c r="F21" s="1">
        <v>16763</v>
      </c>
      <c r="G21" s="1">
        <v>8464</v>
      </c>
      <c r="H21" s="1">
        <v>2858</v>
      </c>
      <c r="I21">
        <v>795</v>
      </c>
      <c r="J21">
        <v>347</v>
      </c>
      <c r="K21" s="1">
        <v>1936</v>
      </c>
      <c r="L21" s="1">
        <v>621872</v>
      </c>
    </row>
    <row r="22" spans="1:12" ht="12.75">
      <c r="A22">
        <v>2000</v>
      </c>
      <c r="B22" s="1">
        <v>548535</v>
      </c>
      <c r="C22" s="1">
        <v>4602</v>
      </c>
      <c r="D22" s="1">
        <v>15977</v>
      </c>
      <c r="E22" s="1">
        <v>5282</v>
      </c>
      <c r="F22" s="1">
        <v>16016</v>
      </c>
      <c r="G22" s="1">
        <v>8373</v>
      </c>
      <c r="H22" s="1">
        <v>2690</v>
      </c>
      <c r="I22">
        <v>768</v>
      </c>
      <c r="J22">
        <v>216</v>
      </c>
      <c r="K22" s="1">
        <v>1982</v>
      </c>
      <c r="L22" s="1">
        <v>604441</v>
      </c>
    </row>
    <row r="23" spans="1:12" ht="12.75">
      <c r="A23">
        <v>2001</v>
      </c>
      <c r="B23" s="1">
        <v>539488</v>
      </c>
      <c r="C23" s="1">
        <v>4421</v>
      </c>
      <c r="D23" s="1">
        <v>16157</v>
      </c>
      <c r="E23" s="1">
        <v>5241</v>
      </c>
      <c r="F23" s="1">
        <v>15670</v>
      </c>
      <c r="G23" s="1">
        <v>7952</v>
      </c>
      <c r="H23" s="1">
        <v>2636</v>
      </c>
      <c r="I23">
        <v>724</v>
      </c>
      <c r="J23">
        <v>235</v>
      </c>
      <c r="K23" s="1">
        <v>2110</v>
      </c>
      <c r="L23" s="1">
        <v>594634</v>
      </c>
    </row>
    <row r="24" spans="3:12" ht="12.75">
      <c r="C24" s="1"/>
      <c r="D24" s="1"/>
      <c r="E24" s="1"/>
      <c r="F24" s="1"/>
      <c r="G24" s="1"/>
      <c r="H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K25" s="1"/>
      <c r="L25" s="1"/>
    </row>
    <row r="26" spans="1:12" ht="11.25" customHeight="1">
      <c r="A26" s="4" t="s">
        <v>17</v>
      </c>
      <c r="B26" s="10"/>
      <c r="C26" s="10"/>
      <c r="D26" s="1"/>
      <c r="E26" s="1"/>
      <c r="F26" s="1"/>
      <c r="G26" s="1"/>
      <c r="H26" s="1"/>
      <c r="K26" s="1"/>
      <c r="L26" s="1"/>
    </row>
    <row r="27" spans="1:12" ht="11.25" customHeight="1">
      <c r="A27" s="9"/>
      <c r="B27" s="10"/>
      <c r="C27" s="10"/>
      <c r="D27" s="1"/>
      <c r="E27" s="1"/>
      <c r="F27" s="1"/>
      <c r="G27" s="1"/>
      <c r="H27" s="1"/>
      <c r="K27" s="1"/>
      <c r="L27" s="1"/>
    </row>
    <row r="28" spans="1:12" ht="11.25" customHeight="1">
      <c r="A28" s="16" t="s">
        <v>13</v>
      </c>
      <c r="B28" s="17" t="s">
        <v>14</v>
      </c>
      <c r="C28" s="17"/>
      <c r="D28" s="1"/>
      <c r="E28" s="1"/>
      <c r="F28" s="1"/>
      <c r="G28" s="1"/>
      <c r="H28" s="1"/>
      <c r="K28" s="1"/>
      <c r="L28" s="1"/>
    </row>
    <row r="29" spans="1:12" ht="11.25" customHeight="1">
      <c r="A29" s="16">
        <v>18</v>
      </c>
      <c r="B29" s="18">
        <v>0.6</v>
      </c>
      <c r="C29" s="10"/>
      <c r="D29" s="1"/>
      <c r="E29" s="1"/>
      <c r="F29" s="1"/>
      <c r="G29" s="1"/>
      <c r="H29" s="1"/>
      <c r="K29" s="1"/>
      <c r="L29" s="1"/>
    </row>
    <row r="30" spans="1:12" ht="11.25" customHeight="1">
      <c r="A30" s="16">
        <v>19</v>
      </c>
      <c r="B30" s="18">
        <v>0.28</v>
      </c>
      <c r="C30" s="10"/>
      <c r="D30" s="1"/>
      <c r="E30" s="1"/>
      <c r="F30" s="1"/>
      <c r="G30" s="1"/>
      <c r="H30" s="1"/>
      <c r="K30" s="1"/>
      <c r="L30" s="1"/>
    </row>
    <row r="31" spans="1:19" ht="11.25" customHeight="1">
      <c r="A31" s="16">
        <v>20</v>
      </c>
      <c r="B31" s="18">
        <v>0.12</v>
      </c>
      <c r="C31" s="10"/>
      <c r="D31" s="1"/>
      <c r="E31" s="1"/>
      <c r="F31" s="1"/>
      <c r="G31" s="1"/>
      <c r="H31" s="1"/>
      <c r="K31" s="1"/>
      <c r="L31" s="1"/>
      <c r="O31" s="20" t="s">
        <v>23</v>
      </c>
      <c r="S31">
        <f>+C49*(1-C36)/(C36*(1-C49))</f>
        <v>1.4222106446667822</v>
      </c>
    </row>
    <row r="32" spans="1:22" ht="11.25" customHeight="1">
      <c r="A32" s="16"/>
      <c r="B32" s="18"/>
      <c r="C32" s="10"/>
      <c r="D32" s="1"/>
      <c r="E32" s="1"/>
      <c r="F32" s="1"/>
      <c r="G32" s="1"/>
      <c r="H32" s="1"/>
      <c r="K32" s="1"/>
      <c r="L32" s="1"/>
      <c r="O32" s="20" t="s">
        <v>24</v>
      </c>
      <c r="S32">
        <f>+S31^(1/13)</f>
        <v>1.0274636253291656</v>
      </c>
      <c r="V32" s="4" t="s">
        <v>15</v>
      </c>
    </row>
    <row r="33" spans="1:12" ht="11.25" customHeight="1">
      <c r="A33" s="16"/>
      <c r="B33" s="18"/>
      <c r="C33" s="108" t="s">
        <v>22</v>
      </c>
      <c r="D33" s="109"/>
      <c r="E33" s="109"/>
      <c r="F33" s="1"/>
      <c r="G33" s="108" t="s">
        <v>25</v>
      </c>
      <c r="H33" s="109"/>
      <c r="I33" s="109"/>
      <c r="K33" s="1"/>
      <c r="L33" s="1"/>
    </row>
    <row r="34" spans="1:28" ht="11.25" customHeight="1">
      <c r="A34" s="16" t="s">
        <v>19</v>
      </c>
      <c r="B34" s="11"/>
      <c r="C34" s="20" t="s">
        <v>20</v>
      </c>
      <c r="E34" s="20" t="s">
        <v>21</v>
      </c>
      <c r="F34" s="11"/>
      <c r="G34" s="20" t="s">
        <v>20</v>
      </c>
      <c r="I34" s="20" t="s">
        <v>21</v>
      </c>
      <c r="J34" s="11"/>
      <c r="K34" s="11"/>
      <c r="L34" s="11"/>
      <c r="O34" s="23" t="s">
        <v>68</v>
      </c>
      <c r="V34" s="6" t="s">
        <v>3</v>
      </c>
      <c r="W34" s="6" t="s">
        <v>4</v>
      </c>
      <c r="X34" s="6" t="s">
        <v>5</v>
      </c>
      <c r="Y34" s="6" t="s">
        <v>6</v>
      </c>
      <c r="Z34" s="6" t="s">
        <v>7</v>
      </c>
      <c r="AA34" s="6" t="s">
        <v>8</v>
      </c>
      <c r="AB34" s="19" t="s">
        <v>16</v>
      </c>
    </row>
    <row r="35" spans="1:12" ht="11.25" customHeight="1">
      <c r="A35" s="2"/>
      <c r="B35" s="11"/>
      <c r="C35" s="20"/>
      <c r="E35" s="20"/>
      <c r="F35" s="11"/>
      <c r="G35" s="11"/>
      <c r="H35" s="11"/>
      <c r="I35" s="11"/>
      <c r="J35" s="11"/>
      <c r="K35" s="11"/>
      <c r="L35" s="11"/>
    </row>
    <row r="36" spans="1:28" ht="11.25" customHeight="1">
      <c r="A36" s="2">
        <v>2006</v>
      </c>
      <c r="B36" s="11"/>
      <c r="C36" s="14">
        <f aca="true" t="shared" si="1" ref="C36:C49">SUM(V36:X36)/AB36</f>
        <v>0.4052679658952497</v>
      </c>
      <c r="E36" s="14">
        <f aca="true" t="shared" si="2" ref="E36:E49">SUM(Y36:AA36)/AB36</f>
        <v>0.5947320341047502</v>
      </c>
      <c r="F36" s="11"/>
      <c r="G36" s="14">
        <f>+O36/(1+O36)</f>
        <v>0.4052679658952497</v>
      </c>
      <c r="H36" s="14"/>
      <c r="I36" s="14">
        <f>1-G36</f>
        <v>0.5947320341047503</v>
      </c>
      <c r="J36" s="11"/>
      <c r="K36" s="21"/>
      <c r="O36">
        <f aca="true" t="shared" si="3" ref="O36:O51">+$C$36/(1-$C$36)*$S$32^(A36-2006)</f>
        <v>0.6814295222978854</v>
      </c>
      <c r="U36" s="2">
        <v>2006</v>
      </c>
      <c r="V36" s="11">
        <f aca="true" t="shared" si="4" ref="V36:V49">+(C10*$B$29+C9*$B$30+C8*$B$31)</f>
        <v>4403.8</v>
      </c>
      <c r="W36" s="11">
        <f aca="true" t="shared" si="5" ref="W36:W49">+(D10*$B$29+D9*$B$30+D8*$B$31)</f>
        <v>13879.72</v>
      </c>
      <c r="X36" s="11">
        <f aca="true" t="shared" si="6" ref="X36:X49">+(E10*$B$29+E9*$B$30+E8*$B$31)</f>
        <v>6205.04</v>
      </c>
      <c r="Y36" s="11">
        <f aca="true" t="shared" si="7" ref="Y36:Y49">+(F10*$B$29+F9*$B$30+F8*$B$31)</f>
        <v>22509.879999999997</v>
      </c>
      <c r="Z36" s="11">
        <f aca="true" t="shared" si="8" ref="Z36:Z49">+(G10*$B$29+G9*$B$30+G8*$B$31)</f>
        <v>9274.56</v>
      </c>
      <c r="AA36" s="11">
        <f aca="true" t="shared" si="9" ref="AA36:AA49">+(H10*$B$29+H9*$B$30+H8*$B$31)</f>
        <v>4152.599999999999</v>
      </c>
      <c r="AB36" s="11">
        <f>SUM(V36:AA36)</f>
        <v>60425.6</v>
      </c>
    </row>
    <row r="37" spans="1:28" ht="11.25" customHeight="1">
      <c r="A37" s="2">
        <f aca="true" t="shared" si="10" ref="A37:A49">+A36+1</f>
        <v>2007</v>
      </c>
      <c r="B37" s="11"/>
      <c r="C37" s="14">
        <f t="shared" si="1"/>
        <v>0.4111822016469736</v>
      </c>
      <c r="E37" s="14">
        <f t="shared" si="2"/>
        <v>0.5888177983530265</v>
      </c>
      <c r="F37" s="14"/>
      <c r="G37" s="14">
        <f aca="true" t="shared" si="11" ref="G37:G49">+O37/(1+O37)</f>
        <v>0.4118145450456279</v>
      </c>
      <c r="H37" s="14"/>
      <c r="I37" s="14">
        <f aca="true" t="shared" si="12" ref="I37:I49">1-G37</f>
        <v>0.5881854549543721</v>
      </c>
      <c r="J37" s="22"/>
      <c r="K37" s="21"/>
      <c r="O37">
        <f t="shared" si="3"/>
        <v>0.7001440473865068</v>
      </c>
      <c r="U37" s="2">
        <f aca="true" t="shared" si="13" ref="U37:U49">+U36+1</f>
        <v>2007</v>
      </c>
      <c r="V37" s="11">
        <f t="shared" si="4"/>
        <v>4542.16</v>
      </c>
      <c r="W37" s="11">
        <f t="shared" si="5"/>
        <v>14437.320000000002</v>
      </c>
      <c r="X37" s="11">
        <f t="shared" si="6"/>
        <v>5932.52</v>
      </c>
      <c r="Y37" s="11">
        <f t="shared" si="7"/>
        <v>22594.719999999998</v>
      </c>
      <c r="Z37" s="11">
        <f t="shared" si="8"/>
        <v>9141</v>
      </c>
      <c r="AA37" s="11">
        <f t="shared" si="9"/>
        <v>3938.56</v>
      </c>
      <c r="AB37" s="11">
        <f aca="true" t="shared" si="14" ref="AB37:AB49">SUM(V37:AA37)</f>
        <v>60586.28</v>
      </c>
    </row>
    <row r="38" spans="1:28" ht="12.75">
      <c r="A38" s="2">
        <f t="shared" si="10"/>
        <v>2008</v>
      </c>
      <c r="B38" s="11"/>
      <c r="C38" s="14">
        <f t="shared" si="1"/>
        <v>0.41767680598259177</v>
      </c>
      <c r="E38" s="14">
        <f t="shared" si="2"/>
        <v>0.5823231940174083</v>
      </c>
      <c r="F38" s="14"/>
      <c r="G38" s="14">
        <f t="shared" si="11"/>
        <v>0.4183924797859777</v>
      </c>
      <c r="H38" s="14"/>
      <c r="I38" s="14">
        <f t="shared" si="12"/>
        <v>0.5816075202140223</v>
      </c>
      <c r="J38" s="22"/>
      <c r="K38" s="21"/>
      <c r="O38">
        <f t="shared" si="3"/>
        <v>0.7193725411803754</v>
      </c>
      <c r="U38" s="2">
        <f t="shared" si="13"/>
        <v>2008</v>
      </c>
      <c r="V38" s="11">
        <f t="shared" si="4"/>
        <v>4660.080000000001</v>
      </c>
      <c r="W38" s="11">
        <f t="shared" si="5"/>
        <v>14995.359999999999</v>
      </c>
      <c r="X38" s="11">
        <f t="shared" si="6"/>
        <v>6117.039999999999</v>
      </c>
      <c r="Y38" s="11">
        <f t="shared" si="7"/>
        <v>22935.64</v>
      </c>
      <c r="Z38" s="11">
        <f t="shared" si="8"/>
        <v>9157.76</v>
      </c>
      <c r="AA38" s="11">
        <f t="shared" si="9"/>
        <v>3838.4800000000005</v>
      </c>
      <c r="AB38" s="11">
        <f t="shared" si="14"/>
        <v>61704.36</v>
      </c>
    </row>
    <row r="39" spans="1:28" ht="12.75">
      <c r="A39" s="2">
        <f t="shared" si="10"/>
        <v>2009</v>
      </c>
      <c r="B39" s="11"/>
      <c r="C39" s="14">
        <f t="shared" si="1"/>
        <v>0.4225909008853396</v>
      </c>
      <c r="E39" s="14">
        <f t="shared" si="2"/>
        <v>0.5774090991146603</v>
      </c>
      <c r="F39" s="14"/>
      <c r="G39" s="14">
        <f t="shared" si="11"/>
        <v>0.4249995650098593</v>
      </c>
      <c r="H39" s="14"/>
      <c r="I39" s="14">
        <f t="shared" si="12"/>
        <v>0.5750004349901408</v>
      </c>
      <c r="J39" s="22"/>
      <c r="K39" s="21"/>
      <c r="O39">
        <f t="shared" si="3"/>
        <v>0.739129119123443</v>
      </c>
      <c r="U39" s="2">
        <f t="shared" si="13"/>
        <v>2009</v>
      </c>
      <c r="V39" s="11">
        <f t="shared" si="4"/>
        <v>4587.16</v>
      </c>
      <c r="W39" s="11">
        <f t="shared" si="5"/>
        <v>15323.48</v>
      </c>
      <c r="X39" s="11">
        <f t="shared" si="6"/>
        <v>6120.52</v>
      </c>
      <c r="Y39" s="11">
        <f t="shared" si="7"/>
        <v>22907.2</v>
      </c>
      <c r="Z39" s="11">
        <f t="shared" si="8"/>
        <v>8827.72</v>
      </c>
      <c r="AA39" s="11">
        <f t="shared" si="9"/>
        <v>3832.88</v>
      </c>
      <c r="AB39" s="11">
        <f t="shared" si="14"/>
        <v>61598.96</v>
      </c>
    </row>
    <row r="40" spans="1:28" ht="12.75">
      <c r="A40" s="2">
        <f t="shared" si="10"/>
        <v>2010</v>
      </c>
      <c r="B40" s="11"/>
      <c r="C40" s="14">
        <f t="shared" si="1"/>
        <v>0.4280298831937458</v>
      </c>
      <c r="E40" s="14">
        <f t="shared" si="2"/>
        <v>0.5719701168062542</v>
      </c>
      <c r="F40" s="14"/>
      <c r="G40" s="14">
        <f t="shared" si="11"/>
        <v>0.4316335545407222</v>
      </c>
      <c r="H40" s="14"/>
      <c r="I40" s="14">
        <f t="shared" si="12"/>
        <v>0.5683664454592778</v>
      </c>
      <c r="J40" s="22"/>
      <c r="K40" s="21"/>
      <c r="O40">
        <f t="shared" si="3"/>
        <v>0.7594282843209255</v>
      </c>
      <c r="U40" s="2">
        <f t="shared" si="13"/>
        <v>2010</v>
      </c>
      <c r="V40" s="11">
        <f t="shared" si="4"/>
        <v>4562.34</v>
      </c>
      <c r="W40" s="11">
        <f t="shared" si="5"/>
        <v>15279.36</v>
      </c>
      <c r="X40" s="11">
        <f t="shared" si="6"/>
        <v>6186.84</v>
      </c>
      <c r="Y40" s="11">
        <f t="shared" si="7"/>
        <v>22189.28</v>
      </c>
      <c r="Z40" s="11">
        <f t="shared" si="8"/>
        <v>8806.880000000001</v>
      </c>
      <c r="AA40" s="11">
        <f t="shared" si="9"/>
        <v>3785.4</v>
      </c>
      <c r="AB40" s="11">
        <f t="shared" si="14"/>
        <v>60810.1</v>
      </c>
    </row>
    <row r="41" spans="1:28" ht="12.75">
      <c r="A41" s="2">
        <f t="shared" si="10"/>
        <v>2011</v>
      </c>
      <c r="B41" s="11"/>
      <c r="C41" s="14">
        <f t="shared" si="1"/>
        <v>0.43394573945934084</v>
      </c>
      <c r="E41" s="14">
        <f t="shared" si="2"/>
        <v>0.5660542605406591</v>
      </c>
      <c r="F41" s="14"/>
      <c r="G41" s="14">
        <f t="shared" si="11"/>
        <v>0.4382921640515581</v>
      </c>
      <c r="H41" s="14"/>
      <c r="I41" s="14">
        <f t="shared" si="12"/>
        <v>0.561707835948442</v>
      </c>
      <c r="J41" s="22"/>
      <c r="K41" s="21"/>
      <c r="O41">
        <f t="shared" si="3"/>
        <v>0.7802849381858865</v>
      </c>
      <c r="U41" s="2">
        <f t="shared" si="13"/>
        <v>2011</v>
      </c>
      <c r="V41" s="11">
        <f t="shared" si="4"/>
        <v>4567.58</v>
      </c>
      <c r="W41" s="11">
        <f t="shared" si="5"/>
        <v>15066.800000000001</v>
      </c>
      <c r="X41" s="11">
        <f t="shared" si="6"/>
        <v>6229.68</v>
      </c>
      <c r="Y41" s="11">
        <f t="shared" si="7"/>
        <v>21122.920000000002</v>
      </c>
      <c r="Z41" s="11">
        <f t="shared" si="8"/>
        <v>8915.48</v>
      </c>
      <c r="AA41" s="11">
        <f t="shared" si="9"/>
        <v>3699.6</v>
      </c>
      <c r="AB41" s="11">
        <f t="shared" si="14"/>
        <v>59602.060000000005</v>
      </c>
    </row>
    <row r="42" spans="1:28" ht="12.75">
      <c r="A42" s="2">
        <f t="shared" si="10"/>
        <v>2012</v>
      </c>
      <c r="B42" s="11"/>
      <c r="C42" s="14">
        <f t="shared" si="1"/>
        <v>0.44029895168940975</v>
      </c>
      <c r="E42" s="14">
        <f t="shared" si="2"/>
        <v>0.5597010483105903</v>
      </c>
      <c r="F42" s="14"/>
      <c r="G42" s="14">
        <f t="shared" si="11"/>
        <v>0.4449730740980241</v>
      </c>
      <c r="H42" s="14"/>
      <c r="I42" s="14">
        <f t="shared" si="12"/>
        <v>0.5550269259019759</v>
      </c>
      <c r="J42" s="22"/>
      <c r="K42" s="21"/>
      <c r="O42">
        <f t="shared" si="3"/>
        <v>0.8017143913782148</v>
      </c>
      <c r="U42" s="2">
        <f t="shared" si="13"/>
        <v>2012</v>
      </c>
      <c r="V42" s="11">
        <f t="shared" si="4"/>
        <v>4616.9800000000005</v>
      </c>
      <c r="W42" s="11">
        <f t="shared" si="5"/>
        <v>14990.800000000001</v>
      </c>
      <c r="X42" s="11">
        <f t="shared" si="6"/>
        <v>6280.68</v>
      </c>
      <c r="Y42" s="11">
        <f t="shared" si="7"/>
        <v>20416.32</v>
      </c>
      <c r="Z42" s="11">
        <f t="shared" si="8"/>
        <v>8859.68</v>
      </c>
      <c r="AA42" s="11">
        <f t="shared" si="9"/>
        <v>3633</v>
      </c>
      <c r="AB42" s="11">
        <f t="shared" si="14"/>
        <v>58797.46</v>
      </c>
    </row>
    <row r="43" spans="1:28" ht="12.75">
      <c r="A43" s="2">
        <f t="shared" si="10"/>
        <v>2013</v>
      </c>
      <c r="B43" s="11"/>
      <c r="C43" s="14">
        <f t="shared" si="1"/>
        <v>0.4451118285490236</v>
      </c>
      <c r="E43" s="14">
        <f t="shared" si="2"/>
        <v>0.5548881714509766</v>
      </c>
      <c r="F43" s="14"/>
      <c r="G43" s="14">
        <f t="shared" si="11"/>
        <v>0.45167393325686866</v>
      </c>
      <c r="H43" s="14"/>
      <c r="I43" s="14">
        <f t="shared" si="12"/>
        <v>0.5483260667431313</v>
      </c>
      <c r="J43" s="22"/>
      <c r="K43" s="21"/>
      <c r="O43">
        <f t="shared" si="3"/>
        <v>0.8237323750440261</v>
      </c>
      <c r="U43" s="2">
        <f t="shared" si="13"/>
        <v>2013</v>
      </c>
      <c r="V43" s="11">
        <f t="shared" si="4"/>
        <v>4578.4</v>
      </c>
      <c r="W43" s="11">
        <f t="shared" si="5"/>
        <v>14847.6</v>
      </c>
      <c r="X43" s="11">
        <f t="shared" si="6"/>
        <v>6184.88</v>
      </c>
      <c r="Y43" s="11">
        <f t="shared" si="7"/>
        <v>19636.04</v>
      </c>
      <c r="Z43" s="11">
        <f t="shared" si="8"/>
        <v>8790.84</v>
      </c>
      <c r="AA43" s="11">
        <f t="shared" si="9"/>
        <v>3500.32</v>
      </c>
      <c r="AB43" s="11">
        <f t="shared" si="14"/>
        <v>57538.079999999994</v>
      </c>
    </row>
    <row r="44" spans="1:28" ht="12.75">
      <c r="A44" s="2">
        <f t="shared" si="10"/>
        <v>2014</v>
      </c>
      <c r="B44" s="11"/>
      <c r="C44" s="14">
        <f t="shared" si="1"/>
        <v>0.44972961003158346</v>
      </c>
      <c r="E44" s="14">
        <f t="shared" si="2"/>
        <v>0.5502703899684166</v>
      </c>
      <c r="F44" s="14"/>
      <c r="G44" s="14">
        <f t="shared" si="11"/>
        <v>0.45839236136095224</v>
      </c>
      <c r="H44" s="14"/>
      <c r="I44" s="14">
        <f t="shared" si="12"/>
        <v>0.5416076386390478</v>
      </c>
      <c r="J44" s="22"/>
      <c r="K44" s="21"/>
      <c r="O44">
        <f t="shared" si="3"/>
        <v>0.846355052363739</v>
      </c>
      <c r="U44" s="2">
        <f t="shared" si="13"/>
        <v>2014</v>
      </c>
      <c r="V44" s="11">
        <f t="shared" si="4"/>
        <v>4508.68</v>
      </c>
      <c r="W44" s="11">
        <f t="shared" si="5"/>
        <v>14998.48</v>
      </c>
      <c r="X44" s="11">
        <f t="shared" si="6"/>
        <v>6163.64</v>
      </c>
      <c r="Y44" s="11">
        <f t="shared" si="7"/>
        <v>19140.120000000003</v>
      </c>
      <c r="Z44" s="11">
        <f t="shared" si="8"/>
        <v>9015.68</v>
      </c>
      <c r="AA44" s="11">
        <f t="shared" si="9"/>
        <v>3253.92</v>
      </c>
      <c r="AB44" s="11">
        <f t="shared" si="14"/>
        <v>57080.52</v>
      </c>
    </row>
    <row r="45" spans="1:28" ht="12.75">
      <c r="A45" s="2">
        <f t="shared" si="10"/>
        <v>2015</v>
      </c>
      <c r="B45" s="11"/>
      <c r="C45" s="14">
        <f t="shared" si="1"/>
        <v>0.4559093594857102</v>
      </c>
      <c r="E45" s="14">
        <f t="shared" si="2"/>
        <v>0.5440906405142898</v>
      </c>
      <c r="F45" s="14"/>
      <c r="G45" s="14">
        <f t="shared" si="11"/>
        <v>0.46512595282166175</v>
      </c>
      <c r="H45" s="14"/>
      <c r="I45" s="14">
        <f t="shared" si="12"/>
        <v>0.5348740471783382</v>
      </c>
      <c r="J45" s="22"/>
      <c r="K45" s="21"/>
      <c r="O45">
        <f t="shared" si="3"/>
        <v>0.869599030417303</v>
      </c>
      <c r="U45" s="2">
        <f t="shared" si="13"/>
        <v>2015</v>
      </c>
      <c r="V45" s="11">
        <f t="shared" si="4"/>
        <v>4410.24</v>
      </c>
      <c r="W45" s="11">
        <f t="shared" si="5"/>
        <v>15359.32</v>
      </c>
      <c r="X45" s="11">
        <f t="shared" si="6"/>
        <v>5939.879999999999</v>
      </c>
      <c r="Y45" s="11">
        <f t="shared" si="7"/>
        <v>18483.12</v>
      </c>
      <c r="Z45" s="11">
        <f t="shared" si="8"/>
        <v>9021.640000000001</v>
      </c>
      <c r="AA45" s="11">
        <f t="shared" si="9"/>
        <v>3177.3599999999997</v>
      </c>
      <c r="AB45" s="11">
        <f t="shared" si="14"/>
        <v>56391.56</v>
      </c>
    </row>
    <row r="46" spans="1:28" ht="12.75">
      <c r="A46" s="2">
        <f t="shared" si="10"/>
        <v>2016</v>
      </c>
      <c r="B46" s="11"/>
      <c r="C46" s="14">
        <f t="shared" si="1"/>
        <v>0.4632878158020052</v>
      </c>
      <c r="E46" s="14">
        <f t="shared" si="2"/>
        <v>0.5367121841979949</v>
      </c>
      <c r="F46" s="14"/>
      <c r="G46" s="14">
        <f t="shared" si="11"/>
        <v>0.47187228002906423</v>
      </c>
      <c r="H46" s="14"/>
      <c r="I46" s="14">
        <f t="shared" si="12"/>
        <v>0.5281277199709358</v>
      </c>
      <c r="J46" s="22"/>
      <c r="K46" s="21"/>
      <c r="O46">
        <f t="shared" si="3"/>
        <v>0.8934813723752896</v>
      </c>
      <c r="U46" s="2">
        <f t="shared" si="13"/>
        <v>2016</v>
      </c>
      <c r="V46" s="11">
        <f t="shared" si="4"/>
        <v>4451.72</v>
      </c>
      <c r="W46" s="11">
        <f t="shared" si="5"/>
        <v>15673.199999999999</v>
      </c>
      <c r="X46" s="11">
        <f t="shared" si="6"/>
        <v>5792.92</v>
      </c>
      <c r="Y46" s="11">
        <f t="shared" si="7"/>
        <v>17886.84</v>
      </c>
      <c r="Z46" s="11">
        <f t="shared" si="8"/>
        <v>9048.84</v>
      </c>
      <c r="AA46" s="11">
        <f t="shared" si="9"/>
        <v>3089.7599999999998</v>
      </c>
      <c r="AB46" s="11">
        <f t="shared" si="14"/>
        <v>55943.27999999999</v>
      </c>
    </row>
    <row r="47" spans="1:28" ht="12.75">
      <c r="A47" s="2">
        <f t="shared" si="10"/>
        <v>2017</v>
      </c>
      <c r="B47" s="11"/>
      <c r="C47" s="14">
        <f t="shared" si="1"/>
        <v>0.47576797028621365</v>
      </c>
      <c r="E47" s="14">
        <f t="shared" si="2"/>
        <v>0.5242320297137862</v>
      </c>
      <c r="F47" s="14"/>
      <c r="G47" s="14">
        <f t="shared" si="11"/>
        <v>0.4786288968197392</v>
      </c>
      <c r="H47" s="14"/>
      <c r="I47" s="14">
        <f t="shared" si="12"/>
        <v>0.5213711031802608</v>
      </c>
      <c r="J47" s="22"/>
      <c r="K47" s="21"/>
      <c r="O47">
        <f t="shared" si="3"/>
        <v>0.918019610024793</v>
      </c>
      <c r="U47" s="2">
        <f t="shared" si="13"/>
        <v>2017</v>
      </c>
      <c r="V47" s="11">
        <f t="shared" si="4"/>
        <v>4538</v>
      </c>
      <c r="W47" s="11">
        <f t="shared" si="5"/>
        <v>15989.92</v>
      </c>
      <c r="X47" s="11">
        <f t="shared" si="6"/>
        <v>5603.16</v>
      </c>
      <c r="Y47" s="11">
        <f t="shared" si="7"/>
        <v>17153.12</v>
      </c>
      <c r="Z47" s="11">
        <f t="shared" si="8"/>
        <v>8690.72</v>
      </c>
      <c r="AA47" s="11">
        <f t="shared" si="9"/>
        <v>2949.08</v>
      </c>
      <c r="AB47" s="11">
        <f t="shared" si="14"/>
        <v>54924</v>
      </c>
    </row>
    <row r="48" spans="1:28" ht="12.75">
      <c r="A48" s="2">
        <f t="shared" si="10"/>
        <v>2018</v>
      </c>
      <c r="B48" s="11"/>
      <c r="C48" s="14">
        <f t="shared" si="1"/>
        <v>0.48434908549879957</v>
      </c>
      <c r="E48" s="14">
        <f t="shared" si="2"/>
        <v>0.5156509145012006</v>
      </c>
      <c r="F48" s="14"/>
      <c r="G48" s="14">
        <f t="shared" si="11"/>
        <v>0.4853933420018734</v>
      </c>
      <c r="H48" s="14"/>
      <c r="I48" s="14">
        <f t="shared" si="12"/>
        <v>0.5146066579981265</v>
      </c>
      <c r="J48" s="22"/>
      <c r="K48" s="21"/>
      <c r="O48">
        <f t="shared" si="3"/>
        <v>0.9432317566393408</v>
      </c>
      <c r="U48" s="2">
        <f t="shared" si="13"/>
        <v>2018</v>
      </c>
      <c r="V48" s="11">
        <f t="shared" si="4"/>
        <v>4586.96</v>
      </c>
      <c r="W48" s="11">
        <f t="shared" si="5"/>
        <v>16006.12</v>
      </c>
      <c r="X48" s="11">
        <f t="shared" si="6"/>
        <v>5398.08</v>
      </c>
      <c r="Y48" s="11">
        <f t="shared" si="7"/>
        <v>16411.280000000002</v>
      </c>
      <c r="Z48" s="11">
        <f t="shared" si="8"/>
        <v>8479</v>
      </c>
      <c r="AA48" s="11">
        <f t="shared" si="9"/>
        <v>2780.6000000000004</v>
      </c>
      <c r="AB48" s="11">
        <f t="shared" si="14"/>
        <v>53662.04</v>
      </c>
    </row>
    <row r="49" spans="1:28" ht="12.75">
      <c r="A49" s="2">
        <f t="shared" si="10"/>
        <v>2019</v>
      </c>
      <c r="B49" s="11"/>
      <c r="C49" s="14">
        <f t="shared" si="1"/>
        <v>0.49216314292690083</v>
      </c>
      <c r="E49" s="14">
        <f t="shared" si="2"/>
        <v>0.5078368570730992</v>
      </c>
      <c r="F49" s="14"/>
      <c r="G49" s="14">
        <f t="shared" si="11"/>
        <v>0.4921631429269012</v>
      </c>
      <c r="H49" s="14"/>
      <c r="I49" s="14">
        <f t="shared" si="12"/>
        <v>0.5078368570730988</v>
      </c>
      <c r="J49" s="22"/>
      <c r="K49" s="21"/>
      <c r="O49">
        <f t="shared" si="3"/>
        <v>0.9691363202022544</v>
      </c>
      <c r="U49" s="2">
        <f t="shared" si="13"/>
        <v>2019</v>
      </c>
      <c r="V49" s="11">
        <f t="shared" si="4"/>
        <v>4492.5599999999995</v>
      </c>
      <c r="W49" s="11">
        <f t="shared" si="5"/>
        <v>16105.399999999998</v>
      </c>
      <c r="X49" s="11">
        <f t="shared" si="6"/>
        <v>5284.879999999999</v>
      </c>
      <c r="Y49" s="11">
        <f t="shared" si="7"/>
        <v>15898.039999999999</v>
      </c>
      <c r="Z49" s="11">
        <f t="shared" si="8"/>
        <v>8131.32</v>
      </c>
      <c r="AA49" s="11">
        <f t="shared" si="9"/>
        <v>2677.76</v>
      </c>
      <c r="AB49" s="11">
        <f t="shared" si="14"/>
        <v>52589.96</v>
      </c>
    </row>
    <row r="50" spans="1:15" ht="12.75">
      <c r="A50" s="2">
        <v>2020</v>
      </c>
      <c r="B50" s="11"/>
      <c r="C50" s="14"/>
      <c r="E50" s="14"/>
      <c r="F50" s="14"/>
      <c r="G50" s="14">
        <f>+O50/(1+O50)</f>
        <v>0.49893581909672435</v>
      </c>
      <c r="H50" s="14"/>
      <c r="I50" s="14">
        <f>1-G50</f>
        <v>0.5010641809032756</v>
      </c>
      <c r="J50" s="22"/>
      <c r="K50" s="11"/>
      <c r="L50" s="11"/>
      <c r="O50">
        <f t="shared" si="3"/>
        <v>0.9957523169931753</v>
      </c>
    </row>
    <row r="51" spans="1:15" ht="12.75">
      <c r="A51" s="2">
        <v>2028</v>
      </c>
      <c r="B51" s="11"/>
      <c r="C51" s="14"/>
      <c r="E51" s="14"/>
      <c r="F51" s="14"/>
      <c r="G51" s="14">
        <f>+O51/(1+O51)</f>
        <v>0.5529233665719895</v>
      </c>
      <c r="H51" s="14"/>
      <c r="I51" s="14">
        <f>1-G51</f>
        <v>0.4470766334280105</v>
      </c>
      <c r="J51" s="22"/>
      <c r="K51" s="11"/>
      <c r="L51" s="11"/>
      <c r="O51">
        <f t="shared" si="3"/>
        <v>1.2367529976514027</v>
      </c>
    </row>
    <row r="52" ht="12.75">
      <c r="A52" s="2"/>
    </row>
    <row r="53" spans="1:16" ht="12.75">
      <c r="A53" s="9" t="s">
        <v>11</v>
      </c>
      <c r="B53" s="9"/>
      <c r="C53" s="8"/>
      <c r="D53" s="8"/>
      <c r="E53" s="8"/>
      <c r="F53" s="8"/>
      <c r="G53" s="8"/>
      <c r="H53" s="8"/>
      <c r="N53" s="9"/>
      <c r="O53" s="9"/>
      <c r="P53" s="9"/>
    </row>
    <row r="54" spans="1:15" ht="12.75">
      <c r="A54" s="15" t="s">
        <v>26</v>
      </c>
      <c r="G54" s="20" t="s">
        <v>36</v>
      </c>
      <c r="L54" s="24">
        <v>1</v>
      </c>
      <c r="O54" s="8"/>
    </row>
    <row r="55" spans="1:15" ht="12.75">
      <c r="A55" s="16" t="s">
        <v>28</v>
      </c>
      <c r="C55" s="29">
        <v>0.407</v>
      </c>
      <c r="E55" s="16"/>
      <c r="O55" s="8"/>
    </row>
    <row r="56" spans="1:15" ht="12.75">
      <c r="A56" s="16" t="s">
        <v>27</v>
      </c>
      <c r="C56" s="29">
        <v>0.224</v>
      </c>
      <c r="O56" s="8"/>
    </row>
    <row r="57" spans="1:16" ht="12.75">
      <c r="A57" s="16" t="s">
        <v>29</v>
      </c>
      <c r="C57" s="24">
        <f>+C55/C56</f>
        <v>1.8169642857142856</v>
      </c>
      <c r="O57" s="8"/>
      <c r="P57" s="24"/>
    </row>
    <row r="58" ht="12.75">
      <c r="O58" s="8"/>
    </row>
    <row r="59" ht="12.75">
      <c r="A59" s="4" t="s">
        <v>51</v>
      </c>
    </row>
    <row r="61" spans="1:15" ht="12.75">
      <c r="A61" s="53">
        <f aca="true" t="shared" si="15" ref="A61:A74">+A36</f>
        <v>2006</v>
      </c>
      <c r="B61" s="51">
        <f>+($L$54*C36*$C$57+(1-$L$54*C36))/($L$54*$C$37*$C$57+(1-$L$54*$C$37))</f>
        <v>0.9963832301772787</v>
      </c>
      <c r="C61" s="14"/>
      <c r="E61" s="11"/>
      <c r="F61" s="11"/>
      <c r="G61" s="11"/>
      <c r="J61" s="24"/>
      <c r="O61" s="8"/>
    </row>
    <row r="62" spans="1:15" ht="12.75">
      <c r="A62" s="4">
        <f t="shared" si="15"/>
        <v>2007</v>
      </c>
      <c r="B62" s="27">
        <f aca="true" t="shared" si="16" ref="B62:B74">+($L$54*C37*$C$57+(1-$L$54*C37))/($L$54*$C$37*$C$57+(1-$L$54*$C$37))</f>
        <v>1</v>
      </c>
      <c r="C62" s="14"/>
      <c r="E62" s="11"/>
      <c r="F62" s="11"/>
      <c r="G62" s="11"/>
      <c r="J62" s="24"/>
      <c r="O62" s="8"/>
    </row>
    <row r="63" spans="1:10" ht="12.75">
      <c r="A63">
        <f t="shared" si="15"/>
        <v>2008</v>
      </c>
      <c r="B63" s="51">
        <f t="shared" si="16"/>
        <v>1.0039716862765797</v>
      </c>
      <c r="C63" s="14"/>
      <c r="E63" s="11"/>
      <c r="F63" s="11"/>
      <c r="G63" s="11"/>
      <c r="J63" s="24"/>
    </row>
    <row r="64" spans="1:10" ht="12.75">
      <c r="A64">
        <f t="shared" si="15"/>
        <v>2009</v>
      </c>
      <c r="B64" s="51">
        <f t="shared" si="16"/>
        <v>1.0069768336694724</v>
      </c>
      <c r="C64" s="14"/>
      <c r="E64" s="11"/>
      <c r="F64" s="11"/>
      <c r="G64" s="11"/>
      <c r="J64" s="24"/>
    </row>
    <row r="65" spans="1:10" ht="12.75">
      <c r="A65" s="4">
        <f t="shared" si="15"/>
        <v>2010</v>
      </c>
      <c r="B65" s="27">
        <f t="shared" si="16"/>
        <v>1.0103029687620115</v>
      </c>
      <c r="C65" s="14"/>
      <c r="E65" s="11"/>
      <c r="F65" s="11"/>
      <c r="G65" s="11"/>
      <c r="J65" s="24"/>
    </row>
    <row r="66" spans="1:10" ht="12.75">
      <c r="A66">
        <f t="shared" si="15"/>
        <v>2011</v>
      </c>
      <c r="B66" s="51">
        <f t="shared" si="16"/>
        <v>1.0139207295877826</v>
      </c>
      <c r="C66" s="14"/>
      <c r="E66" s="11"/>
      <c r="F66" s="11"/>
      <c r="G66" s="11"/>
      <c r="J66" s="24"/>
    </row>
    <row r="67" spans="1:10" ht="12.75">
      <c r="A67">
        <f t="shared" si="15"/>
        <v>2012</v>
      </c>
      <c r="B67" s="51">
        <f t="shared" si="16"/>
        <v>1.017805949459912</v>
      </c>
      <c r="C67" s="14"/>
      <c r="E67" s="11"/>
      <c r="F67" s="11"/>
      <c r="G67" s="11"/>
      <c r="J67" s="24"/>
    </row>
    <row r="68" spans="1:10" ht="12.75">
      <c r="A68">
        <f t="shared" si="15"/>
        <v>2013</v>
      </c>
      <c r="B68" s="51">
        <f t="shared" si="16"/>
        <v>1.0207491983456622</v>
      </c>
      <c r="C68" s="14"/>
      <c r="E68" s="11"/>
      <c r="F68" s="11"/>
      <c r="G68" s="11"/>
      <c r="J68" s="24"/>
    </row>
    <row r="69" spans="1:10" ht="12.75">
      <c r="A69">
        <f t="shared" si="15"/>
        <v>2014</v>
      </c>
      <c r="B69" s="51">
        <f t="shared" si="16"/>
        <v>1.0235731393272465</v>
      </c>
      <c r="C69" s="14"/>
      <c r="E69" s="11"/>
      <c r="F69" s="11"/>
      <c r="G69" s="11"/>
      <c r="J69" s="24"/>
    </row>
    <row r="70" spans="1:10" ht="12.75">
      <c r="A70">
        <f t="shared" si="15"/>
        <v>2015</v>
      </c>
      <c r="B70" s="51">
        <f t="shared" si="16"/>
        <v>1.0273522804159576</v>
      </c>
      <c r="C70" s="14"/>
      <c r="E70" s="11"/>
      <c r="F70" s="11"/>
      <c r="G70" s="11"/>
      <c r="J70" s="24"/>
    </row>
    <row r="71" spans="1:10" ht="12.75">
      <c r="A71">
        <f t="shared" si="15"/>
        <v>2016</v>
      </c>
      <c r="B71" s="51">
        <f t="shared" si="16"/>
        <v>1.0318644742586303</v>
      </c>
      <c r="C71" s="14"/>
      <c r="E71" s="11"/>
      <c r="F71" s="11"/>
      <c r="G71" s="11"/>
      <c r="J71" s="24"/>
    </row>
    <row r="72" spans="1:10" ht="12.75">
      <c r="A72">
        <f t="shared" si="15"/>
        <v>2017</v>
      </c>
      <c r="B72" s="51">
        <f t="shared" si="16"/>
        <v>1.0394965417000115</v>
      </c>
      <c r="C72" s="14"/>
      <c r="E72" s="11"/>
      <c r="F72" s="11"/>
      <c r="G72" s="11"/>
      <c r="J72" s="24"/>
    </row>
    <row r="73" spans="1:10" ht="12.75">
      <c r="A73">
        <f t="shared" si="15"/>
        <v>2018</v>
      </c>
      <c r="B73" s="51">
        <f t="shared" si="16"/>
        <v>1.044744205108953</v>
      </c>
      <c r="C73" s="14"/>
      <c r="E73" s="11"/>
      <c r="F73" s="11"/>
      <c r="G73" s="11"/>
      <c r="J73" s="24"/>
    </row>
    <row r="74" spans="1:10" ht="12.75">
      <c r="A74">
        <f t="shared" si="15"/>
        <v>2019</v>
      </c>
      <c r="B74" s="51">
        <f t="shared" si="16"/>
        <v>1.0495227848418847</v>
      </c>
      <c r="C74" s="14"/>
      <c r="E74" s="11"/>
      <c r="F74" s="27"/>
      <c r="G74" s="11"/>
      <c r="J74" s="24"/>
    </row>
    <row r="75" spans="1:10" ht="12.75">
      <c r="A75" s="28">
        <v>2020</v>
      </c>
      <c r="B75" s="27">
        <f>+($L$54*G50*$C$57+(1-$L$54*G50))/($L$54*$C$37*$C$57+(1-$L$54*$C$37))</f>
        <v>1.0536645221378558</v>
      </c>
      <c r="C75" s="14"/>
      <c r="D75" s="4"/>
      <c r="E75" s="11"/>
      <c r="G75" s="11"/>
      <c r="J75" s="24"/>
    </row>
    <row r="76" spans="1:10" ht="12.75">
      <c r="A76" s="28">
        <v>2028</v>
      </c>
      <c r="B76" s="27">
        <f>+($L$54*G51*$C$57+(1-$L$54*G51))/($L$54*$C$37*$C$57+(1-$L$54*$C$37))</f>
        <v>1.0866798669276465</v>
      </c>
      <c r="E76" s="11"/>
      <c r="G76" s="11"/>
      <c r="J76" s="24"/>
    </row>
    <row r="78" ht="12.75">
      <c r="A78" s="4" t="s">
        <v>67</v>
      </c>
    </row>
    <row r="79" ht="12.75">
      <c r="A79" s="4"/>
    </row>
    <row r="80" ht="12.75">
      <c r="A80" s="53" t="s">
        <v>79</v>
      </c>
    </row>
    <row r="81" ht="12.75">
      <c r="A81" s="53" t="s">
        <v>88</v>
      </c>
    </row>
    <row r="82" ht="12.75">
      <c r="A82" s="53" t="s">
        <v>89</v>
      </c>
    </row>
    <row r="83" ht="12.75">
      <c r="A83" s="53" t="s">
        <v>81</v>
      </c>
    </row>
    <row r="84" ht="12.75">
      <c r="A84" s="16" t="s">
        <v>50</v>
      </c>
    </row>
    <row r="85" ht="12.75">
      <c r="A85" s="53" t="s">
        <v>80</v>
      </c>
    </row>
    <row r="86" ht="12.75">
      <c r="A86" s="53" t="s">
        <v>82</v>
      </c>
    </row>
    <row r="87" ht="12.75">
      <c r="A87" s="53" t="s">
        <v>83</v>
      </c>
    </row>
    <row r="88" ht="12.75">
      <c r="A88" s="53" t="s">
        <v>84</v>
      </c>
    </row>
    <row r="89" ht="12.75">
      <c r="A89" s="53" t="s">
        <v>85</v>
      </c>
    </row>
    <row r="90" ht="12.75">
      <c r="A90" s="53" t="s">
        <v>86</v>
      </c>
    </row>
    <row r="91" ht="13.5" customHeight="1">
      <c r="A91" s="53" t="s">
        <v>87</v>
      </c>
    </row>
    <row r="92" ht="12.75">
      <c r="A92" s="53" t="s">
        <v>103</v>
      </c>
    </row>
    <row r="93" ht="12.75">
      <c r="A93" s="53" t="s">
        <v>104</v>
      </c>
    </row>
    <row r="94" ht="12.75">
      <c r="A94" s="53" t="s">
        <v>105</v>
      </c>
    </row>
    <row r="95" ht="12.75">
      <c r="A95" s="53"/>
    </row>
    <row r="96" ht="12.75">
      <c r="A96" s="4" t="s">
        <v>30</v>
      </c>
    </row>
    <row r="98" ht="12.75">
      <c r="A98" s="23" t="s">
        <v>31</v>
      </c>
    </row>
    <row r="99" spans="1:18" ht="12.75">
      <c r="A99" s="16" t="s">
        <v>37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ht="12.75">
      <c r="A100" s="16" t="s">
        <v>32</v>
      </c>
    </row>
    <row r="101" spans="1:12" ht="12.75">
      <c r="A101" s="110" t="s">
        <v>33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ht="12.75">
      <c r="A102" s="25" t="s">
        <v>35</v>
      </c>
    </row>
    <row r="103" ht="12.75">
      <c r="A103" s="25"/>
    </row>
    <row r="104" ht="12.75">
      <c r="A104" s="23" t="s">
        <v>34</v>
      </c>
    </row>
    <row r="105" ht="12.75">
      <c r="A105" t="s">
        <v>40</v>
      </c>
    </row>
    <row r="106" ht="12.75">
      <c r="A106" s="16" t="s">
        <v>41</v>
      </c>
    </row>
    <row r="107" ht="12.75">
      <c r="A107" t="s">
        <v>38</v>
      </c>
    </row>
    <row r="108" ht="12.75">
      <c r="A108" t="s">
        <v>39</v>
      </c>
    </row>
    <row r="109" ht="12.75">
      <c r="A109" s="16" t="s">
        <v>42</v>
      </c>
    </row>
    <row r="110" ht="12.75">
      <c r="A110" s="16" t="s">
        <v>43</v>
      </c>
    </row>
    <row r="111" ht="12.75">
      <c r="A111" s="16" t="s">
        <v>44</v>
      </c>
    </row>
    <row r="112" spans="1:2" ht="12.75">
      <c r="A112" s="16" t="s">
        <v>45</v>
      </c>
      <c r="B112" s="26" t="s">
        <v>46</v>
      </c>
    </row>
    <row r="113" ht="12.75">
      <c r="A113" s="16" t="s">
        <v>47</v>
      </c>
    </row>
    <row r="114" ht="12.75">
      <c r="A114" s="16" t="s">
        <v>48</v>
      </c>
    </row>
  </sheetData>
  <sheetProtection/>
  <mergeCells count="4">
    <mergeCell ref="G99:R99"/>
    <mergeCell ref="C33:E33"/>
    <mergeCell ref="G33:I33"/>
    <mergeCell ref="A101:L101"/>
  </mergeCells>
  <hyperlinks>
    <hyperlink ref="B112" r:id="rId1" display="www.dcsf.gov.uk/research/data/uploadfiles/RR806.pdf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0"/>
  <sheetViews>
    <sheetView zoomScalePageLayoutView="0" workbookViewId="0" topLeftCell="A25">
      <selection activeCell="B70" sqref="B70"/>
    </sheetView>
  </sheetViews>
  <sheetFormatPr defaultColWidth="9.140625" defaultRowHeight="12.75"/>
  <cols>
    <col min="1" max="1" width="12.140625" style="0" customWidth="1"/>
    <col min="3" max="3" width="11.421875" style="0" customWidth="1"/>
    <col min="10" max="10" width="13.140625" style="0" customWidth="1"/>
  </cols>
  <sheetData>
    <row r="1" ht="12.75">
      <c r="A1" s="4" t="s">
        <v>49</v>
      </c>
    </row>
    <row r="2" spans="1:12" ht="27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6" spans="1:12" ht="25.5">
      <c r="A6" s="16" t="s">
        <v>18</v>
      </c>
      <c r="B6" s="6" t="s">
        <v>1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7" t="s">
        <v>10</v>
      </c>
      <c r="K6" s="7" t="s">
        <v>2</v>
      </c>
      <c r="L6" s="6" t="s">
        <v>0</v>
      </c>
    </row>
    <row r="8" spans="1:12" ht="12.75">
      <c r="A8">
        <v>1986</v>
      </c>
      <c r="B8" s="1">
        <f>+'Projected participation by clas'!B8</f>
        <v>599603</v>
      </c>
      <c r="C8" s="1">
        <f>+'Projected participation by clas'!C8</f>
        <v>4290</v>
      </c>
      <c r="D8" s="1">
        <f>+'Projected participation by clas'!D8</f>
        <v>13091</v>
      </c>
      <c r="E8" s="1">
        <f>+'Projected participation by clas'!E8</f>
        <v>6115</v>
      </c>
      <c r="F8" s="1">
        <f>+'Projected participation by clas'!F8</f>
        <v>21802</v>
      </c>
      <c r="G8" s="1">
        <f>+'Projected participation by clas'!G8</f>
        <v>9119</v>
      </c>
      <c r="H8" s="1">
        <f>+'Projected participation by clas'!H8</f>
        <v>4176</v>
      </c>
      <c r="I8" s="1">
        <f>+'Projected participation by clas'!I8</f>
        <v>1399</v>
      </c>
      <c r="J8" s="1">
        <f>+'Projected participation by clas'!J8</f>
        <v>501</v>
      </c>
      <c r="K8" s="1">
        <f>+'Projected participation by clas'!K8</f>
        <v>922</v>
      </c>
      <c r="L8" s="1">
        <f>+'Projected participation by clas'!L8</f>
        <v>661018</v>
      </c>
    </row>
    <row r="9" spans="1:12" ht="12.75">
      <c r="A9">
        <v>1987</v>
      </c>
      <c r="B9" s="1">
        <f>+'Projected participation by clas'!B9</f>
        <v>618478</v>
      </c>
      <c r="C9" s="1">
        <f>+'Projected participation by clas'!C9</f>
        <v>4360</v>
      </c>
      <c r="D9" s="1">
        <f>+'Projected participation by clas'!D9</f>
        <v>13630</v>
      </c>
      <c r="E9" s="1">
        <f>+'Projected participation by clas'!E9</f>
        <v>6068</v>
      </c>
      <c r="F9" s="1">
        <f>+'Projected participation by clas'!F9</f>
        <v>22498</v>
      </c>
      <c r="G9" s="1">
        <f>+'Projected participation by clas'!G9</f>
        <v>9306</v>
      </c>
      <c r="H9" s="1">
        <f>+'Projected participation by clas'!H9</f>
        <v>4206</v>
      </c>
      <c r="I9" s="1">
        <f>+'Projected participation by clas'!I9</f>
        <v>1463</v>
      </c>
      <c r="J9" s="1">
        <f>+'Projected participation by clas'!J9</f>
        <v>530</v>
      </c>
      <c r="K9" s="1">
        <f>+'Projected participation by clas'!K9</f>
        <v>972</v>
      </c>
      <c r="L9" s="1">
        <f>+'Projected participation by clas'!L9</f>
        <v>681511</v>
      </c>
    </row>
    <row r="10" spans="1:12" ht="12.75">
      <c r="A10">
        <v>1988</v>
      </c>
      <c r="B10" s="1">
        <f>+'Projected participation by clas'!B10</f>
        <v>629601</v>
      </c>
      <c r="C10" s="1">
        <f>+'Projected participation by clas'!C10</f>
        <v>4447</v>
      </c>
      <c r="D10" s="1">
        <f>+'Projected participation by clas'!D10</f>
        <v>14154</v>
      </c>
      <c r="E10" s="1">
        <f>+'Projected participation by clas'!E10</f>
        <v>6287</v>
      </c>
      <c r="F10" s="1">
        <f>+'Projected participation by clas'!F10</f>
        <v>22657</v>
      </c>
      <c r="G10" s="1">
        <f>+'Projected participation by clas'!G10</f>
        <v>9291</v>
      </c>
      <c r="H10" s="1">
        <f>+'Projected participation by clas'!H10</f>
        <v>4123</v>
      </c>
      <c r="I10" s="1">
        <f>+'Projected participation by clas'!I10</f>
        <v>1409</v>
      </c>
      <c r="J10" s="1">
        <f>+'Projected participation by clas'!J10</f>
        <v>752</v>
      </c>
      <c r="K10" s="1">
        <f>+'Projected participation by clas'!K10</f>
        <v>856</v>
      </c>
      <c r="L10" s="1">
        <f>+'Projected participation by clas'!L10</f>
        <v>693577</v>
      </c>
    </row>
    <row r="11" spans="1:12" ht="12.75">
      <c r="A11">
        <v>1989</v>
      </c>
      <c r="B11" s="1">
        <f>+'Projected participation by clas'!B11</f>
        <v>624420</v>
      </c>
      <c r="C11" s="1">
        <f>+'Projected participation by clas'!C11</f>
        <v>4623</v>
      </c>
      <c r="D11" s="1">
        <f>+'Projected participation by clas'!D11</f>
        <v>14731</v>
      </c>
      <c r="E11" s="1">
        <f>+'Projected participation by clas'!E11</f>
        <v>5740</v>
      </c>
      <c r="F11" s="1">
        <f>+'Projected participation by clas'!F11</f>
        <v>22585</v>
      </c>
      <c r="G11" s="1">
        <f>+'Projected participation by clas'!G11</f>
        <v>9038</v>
      </c>
      <c r="H11" s="1">
        <f>+'Projected participation by clas'!H11</f>
        <v>3799</v>
      </c>
      <c r="I11" s="1">
        <f>+'Projected participation by clas'!I11</f>
        <v>1248</v>
      </c>
      <c r="J11" s="1">
        <f>+'Projected participation by clas'!J11</f>
        <v>645</v>
      </c>
      <c r="K11" s="1">
        <f>+'Projected participation by clas'!K11</f>
        <v>896</v>
      </c>
      <c r="L11" s="1">
        <f>+'Projected participation by clas'!L11</f>
        <v>687725</v>
      </c>
    </row>
    <row r="12" spans="1:12" ht="12.75">
      <c r="A12">
        <v>1990</v>
      </c>
      <c r="B12" s="1">
        <f>+'Projected participation by clas'!B12</f>
        <v>641036</v>
      </c>
      <c r="C12" s="1">
        <f>+'Projected participation by clas'!C12</f>
        <v>4720</v>
      </c>
      <c r="D12" s="1">
        <f>+'Projected participation by clas'!D12</f>
        <v>15287</v>
      </c>
      <c r="E12" s="1">
        <f>+'Projected participation by clas'!E12</f>
        <v>6259</v>
      </c>
      <c r="F12" s="1">
        <f>+'Projected participation by clas'!F12</f>
        <v>23155</v>
      </c>
      <c r="G12" s="1">
        <f>+'Projected participation by clas'!G12</f>
        <v>9187</v>
      </c>
      <c r="H12" s="1">
        <f>+'Projected participation by clas'!H12</f>
        <v>3800</v>
      </c>
      <c r="I12" s="1">
        <f>+'Projected participation by clas'!I12</f>
        <v>1220</v>
      </c>
      <c r="J12" s="1">
        <f>+'Projected participation by clas'!J12</f>
        <v>580</v>
      </c>
      <c r="K12" s="1">
        <f>+'Projected participation by clas'!K12</f>
        <v>896</v>
      </c>
      <c r="L12" s="1">
        <f>+'Projected participation by clas'!L12</f>
        <v>706140</v>
      </c>
    </row>
    <row r="13" spans="1:12" ht="12.75">
      <c r="A13">
        <v>1991</v>
      </c>
      <c r="B13" s="1">
        <f>+'Projected participation by clas'!B13</f>
        <v>634800</v>
      </c>
      <c r="C13" s="1">
        <f>+'Projected participation by clas'!C13</f>
        <v>4518</v>
      </c>
      <c r="D13" s="1">
        <f>+'Projected participation by clas'!D13</f>
        <v>15459</v>
      </c>
      <c r="E13" s="1">
        <f>+'Projected participation by clas'!E13</f>
        <v>6132</v>
      </c>
      <c r="F13" s="1">
        <f>+'Projected participation by clas'!F13</f>
        <v>22856</v>
      </c>
      <c r="G13" s="1">
        <f>+'Projected participation by clas'!G13</f>
        <v>8618</v>
      </c>
      <c r="H13" s="1">
        <f>+'Projected participation by clas'!H13</f>
        <v>3855</v>
      </c>
      <c r="I13" s="1">
        <f>+'Projected participation by clas'!I13</f>
        <v>1177</v>
      </c>
      <c r="J13" s="1">
        <f>+'Projected participation by clas'!J13</f>
        <v>768</v>
      </c>
      <c r="K13" s="1">
        <f>+'Projected participation by clas'!K13</f>
        <v>1034</v>
      </c>
      <c r="L13" s="1">
        <f>+'Projected participation by clas'!L13</f>
        <v>699217</v>
      </c>
    </row>
    <row r="14" spans="1:12" ht="12.75">
      <c r="A14" s="12" t="s">
        <v>12</v>
      </c>
      <c r="B14" s="1">
        <f>+'Projected participation by clas'!B14</f>
        <v>622963</v>
      </c>
      <c r="C14" s="1">
        <f>+'Projected participation by clas'!C14</f>
        <v>4551.5</v>
      </c>
      <c r="D14" s="1">
        <f>+'Projected participation by clas'!D14</f>
        <v>15194</v>
      </c>
      <c r="E14" s="1">
        <f>+'Projected participation by clas'!E14</f>
        <v>6198</v>
      </c>
      <c r="F14" s="1">
        <f>+'Projected participation by clas'!F14</f>
        <v>21685</v>
      </c>
      <c r="G14" s="1">
        <f>+'Projected participation by clas'!G14</f>
        <v>8819</v>
      </c>
      <c r="H14" s="1">
        <f>+'Projected participation by clas'!H14</f>
        <v>3750</v>
      </c>
      <c r="I14" s="1">
        <f>+'Projected participation by clas'!I14</f>
        <v>1142.5</v>
      </c>
      <c r="J14" s="1">
        <f>+'Projected participation by clas'!J14</f>
        <v>803.5</v>
      </c>
      <c r="K14" s="1">
        <f>+'Projected participation by clas'!K14</f>
        <v>1235.5</v>
      </c>
      <c r="L14" s="1">
        <f>+'Projected participation by clas'!L14</f>
        <v>686342</v>
      </c>
    </row>
    <row r="15" spans="1:12" ht="12.75">
      <c r="A15">
        <v>1993</v>
      </c>
      <c r="B15" s="1">
        <f>+'Projected participation by clas'!B15</f>
        <v>611126</v>
      </c>
      <c r="C15" s="1">
        <f>+'Projected participation by clas'!C15</f>
        <v>4585</v>
      </c>
      <c r="D15" s="1">
        <f>+'Projected participation by clas'!D15</f>
        <v>14929</v>
      </c>
      <c r="E15" s="1">
        <f>+'Projected participation by clas'!E15</f>
        <v>6264</v>
      </c>
      <c r="F15" s="1">
        <f>+'Projected participation by clas'!F15</f>
        <v>20514</v>
      </c>
      <c r="G15" s="1">
        <f>+'Projected participation by clas'!G15</f>
        <v>9020</v>
      </c>
      <c r="H15" s="1">
        <f>+'Projected participation by clas'!H15</f>
        <v>3645</v>
      </c>
      <c r="I15" s="1">
        <f>+'Projected participation by clas'!I15</f>
        <v>1108</v>
      </c>
      <c r="J15" s="1">
        <f>+'Projected participation by clas'!J15</f>
        <v>839</v>
      </c>
      <c r="K15" s="1">
        <f>+'Projected participation by clas'!K15</f>
        <v>1437</v>
      </c>
      <c r="L15" s="1">
        <f>+'Projected participation by clas'!L15</f>
        <v>673467</v>
      </c>
    </row>
    <row r="16" spans="1:12" ht="12.75">
      <c r="A16">
        <v>1994</v>
      </c>
      <c r="B16" s="1">
        <f>+'Projected participation by clas'!B16</f>
        <v>603130</v>
      </c>
      <c r="C16" s="1">
        <f>+'Projected participation by clas'!C16</f>
        <v>4645</v>
      </c>
      <c r="D16" s="1">
        <f>+'Projected participation by clas'!D16</f>
        <v>14979</v>
      </c>
      <c r="E16" s="1">
        <f>+'Projected participation by clas'!E16</f>
        <v>6305</v>
      </c>
      <c r="F16" s="1">
        <f>+'Projected participation by clas'!F16</f>
        <v>20117</v>
      </c>
      <c r="G16" s="1">
        <f>+'Projected participation by clas'!G16</f>
        <v>8793</v>
      </c>
      <c r="H16" s="1">
        <f>+'Projected participation by clas'!H16</f>
        <v>3604</v>
      </c>
      <c r="I16" s="1">
        <f>+'Projected participation by clas'!I16</f>
        <v>1047</v>
      </c>
      <c r="J16" s="1">
        <f>+'Projected participation by clas'!J16</f>
        <v>568</v>
      </c>
      <c r="K16" s="1">
        <f>+'Projected participation by clas'!K16</f>
        <v>1538</v>
      </c>
      <c r="L16" s="1">
        <f>+'Projected participation by clas'!L16</f>
        <v>664726</v>
      </c>
    </row>
    <row r="17" spans="1:12" ht="12.75">
      <c r="A17">
        <v>1995</v>
      </c>
      <c r="B17" s="1">
        <f>+'Projected participation by clas'!B17</f>
        <v>588167</v>
      </c>
      <c r="C17" s="1">
        <f>+'Projected participation by clas'!C17</f>
        <v>4546</v>
      </c>
      <c r="D17" s="1">
        <f>+'Projected participation by clas'!D17</f>
        <v>14770</v>
      </c>
      <c r="E17" s="1">
        <f>+'Projected participation by clas'!E17</f>
        <v>6113</v>
      </c>
      <c r="F17" s="1">
        <f>+'Projected participation by clas'!F17</f>
        <v>19236</v>
      </c>
      <c r="G17" s="1">
        <f>+'Projected participation by clas'!G17</f>
        <v>8744</v>
      </c>
      <c r="H17" s="1">
        <f>+'Projected participation by clas'!H17</f>
        <v>3423</v>
      </c>
      <c r="I17" s="1">
        <f>+'Projected participation by clas'!I17</f>
        <v>1014</v>
      </c>
      <c r="J17" s="1">
        <f>+'Projected participation by clas'!J17</f>
        <v>406</v>
      </c>
      <c r="K17" s="1">
        <f>+'Projected participation by clas'!K17</f>
        <v>1719</v>
      </c>
      <c r="L17" s="1">
        <f>+'Projected participation by clas'!L17</f>
        <v>648138</v>
      </c>
    </row>
    <row r="18" spans="1:12" ht="12.75">
      <c r="A18">
        <v>1996</v>
      </c>
      <c r="B18" s="1">
        <f>+'Projected participation by clas'!B18</f>
        <v>589505</v>
      </c>
      <c r="C18" s="1">
        <f>+'Projected participation by clas'!C18</f>
        <v>4464</v>
      </c>
      <c r="D18" s="1">
        <f>+'Projected participation by clas'!D18</f>
        <v>15109</v>
      </c>
      <c r="E18" s="1">
        <f>+'Projected participation by clas'!E18</f>
        <v>6159</v>
      </c>
      <c r="F18" s="1">
        <f>+'Projected participation by clas'!F18</f>
        <v>18900</v>
      </c>
      <c r="G18" s="1">
        <f>+'Projected participation by clas'!G18</f>
        <v>9187</v>
      </c>
      <c r="H18" s="1">
        <f>+'Projected participation by clas'!H18</f>
        <v>3105</v>
      </c>
      <c r="I18" s="1">
        <f>+'Projected participation by clas'!I18</f>
        <v>918</v>
      </c>
      <c r="J18" s="1">
        <f>+'Projected participation by clas'!J18</f>
        <v>216</v>
      </c>
      <c r="K18" s="1">
        <f>+'Projected participation by clas'!K18</f>
        <v>1922</v>
      </c>
      <c r="L18" s="1">
        <f>+'Projected participation by clas'!L18</f>
        <v>649485</v>
      </c>
    </row>
    <row r="19" spans="1:12" ht="12.75">
      <c r="A19">
        <v>1997</v>
      </c>
      <c r="B19" s="1">
        <f>+'Projected participation by clas'!B19</f>
        <v>584034</v>
      </c>
      <c r="C19" s="1">
        <f>+'Projected participation by clas'!C19</f>
        <v>4358</v>
      </c>
      <c r="D19" s="1">
        <f>+'Projected participation by clas'!D19</f>
        <v>15594</v>
      </c>
      <c r="E19" s="1">
        <f>+'Projected participation by clas'!E19</f>
        <v>5803</v>
      </c>
      <c r="F19" s="1">
        <f>+'Projected participation by clas'!F19</f>
        <v>18138</v>
      </c>
      <c r="G19" s="1">
        <f>+'Projected participation by clas'!G19</f>
        <v>9000</v>
      </c>
      <c r="H19" s="1">
        <f>+'Projected participation by clas'!H19</f>
        <v>3162</v>
      </c>
      <c r="I19" s="1">
        <f>+'Projected participation by clas'!I19</f>
        <v>822</v>
      </c>
      <c r="J19" s="1">
        <f>+'Projected participation by clas'!J19</f>
        <v>254</v>
      </c>
      <c r="K19" s="1">
        <f>+'Projected participation by clas'!K19</f>
        <v>1930</v>
      </c>
      <c r="L19" s="1">
        <f>+'Projected participation by clas'!L19</f>
        <v>643095</v>
      </c>
    </row>
    <row r="20" spans="1:12" ht="12.75">
      <c r="A20">
        <v>1998</v>
      </c>
      <c r="B20" s="1">
        <f>+'Projected participation by clas'!B20</f>
        <v>577275</v>
      </c>
      <c r="C20" s="1">
        <f>+'Projected participation by clas'!C20</f>
        <v>4493</v>
      </c>
      <c r="D20" s="1">
        <f>+'Projected participation by clas'!D20</f>
        <v>15823</v>
      </c>
      <c r="E20" s="1">
        <f>+'Projected participation by clas'!E20</f>
        <v>5715</v>
      </c>
      <c r="F20" s="1">
        <f>+'Projected participation by clas'!F20</f>
        <v>17567</v>
      </c>
      <c r="G20" s="1">
        <f>+'Projected participation by clas'!G20</f>
        <v>9044</v>
      </c>
      <c r="H20" s="1">
        <f>+'Projected participation by clas'!H20</f>
        <v>3053</v>
      </c>
      <c r="I20" s="1">
        <f>+'Projected participation by clas'!I20</f>
        <v>797</v>
      </c>
      <c r="J20" s="1">
        <f>+'Projected participation by clas'!J20</f>
        <v>319</v>
      </c>
      <c r="K20" s="1">
        <f>+'Projected participation by clas'!K20</f>
        <v>1815</v>
      </c>
      <c r="L20" s="1">
        <f>+'Projected participation by clas'!L20</f>
        <v>635901</v>
      </c>
    </row>
    <row r="21" spans="1:12" ht="12.75">
      <c r="A21">
        <v>1999</v>
      </c>
      <c r="B21" s="1">
        <f>+'Projected participation by clas'!B21</f>
        <v>564456</v>
      </c>
      <c r="C21" s="1">
        <f>+'Projected participation by clas'!C21</f>
        <v>4595</v>
      </c>
      <c r="D21" s="1">
        <f>+'Projected participation by clas'!D21</f>
        <v>16147</v>
      </c>
      <c r="E21" s="1">
        <f>+'Projected participation by clas'!E21</f>
        <v>5511</v>
      </c>
      <c r="F21" s="1">
        <f>+'Projected participation by clas'!F21</f>
        <v>16763</v>
      </c>
      <c r="G21" s="1">
        <f>+'Projected participation by clas'!G21</f>
        <v>8464</v>
      </c>
      <c r="H21" s="1">
        <f>+'Projected participation by clas'!H21</f>
        <v>2858</v>
      </c>
      <c r="I21" s="1">
        <f>+'Projected participation by clas'!I21</f>
        <v>795</v>
      </c>
      <c r="J21" s="1">
        <f>+'Projected participation by clas'!J21</f>
        <v>347</v>
      </c>
      <c r="K21" s="1">
        <f>+'Projected participation by clas'!K21</f>
        <v>1936</v>
      </c>
      <c r="L21" s="1">
        <f>+'Projected participation by clas'!L21</f>
        <v>621872</v>
      </c>
    </row>
    <row r="22" spans="1:12" ht="12.75">
      <c r="A22">
        <v>2000</v>
      </c>
      <c r="B22" s="1">
        <f>+'Projected participation by clas'!B22</f>
        <v>548535</v>
      </c>
      <c r="C22" s="1">
        <f>+'Projected participation by clas'!C22</f>
        <v>4602</v>
      </c>
      <c r="D22" s="1">
        <f>+'Projected participation by clas'!D22</f>
        <v>15977</v>
      </c>
      <c r="E22" s="1">
        <f>+'Projected participation by clas'!E22</f>
        <v>5282</v>
      </c>
      <c r="F22" s="1">
        <f>+'Projected participation by clas'!F22</f>
        <v>16016</v>
      </c>
      <c r="G22" s="1">
        <f>+'Projected participation by clas'!G22</f>
        <v>8373</v>
      </c>
      <c r="H22" s="1">
        <f>+'Projected participation by clas'!H22</f>
        <v>2690</v>
      </c>
      <c r="I22" s="1">
        <f>+'Projected participation by clas'!I22</f>
        <v>768</v>
      </c>
      <c r="J22" s="1">
        <f>+'Projected participation by clas'!J22</f>
        <v>216</v>
      </c>
      <c r="K22" s="1">
        <f>+'Projected participation by clas'!K22</f>
        <v>1982</v>
      </c>
      <c r="L22" s="1">
        <f>+'Projected participation by clas'!L22</f>
        <v>604441</v>
      </c>
    </row>
    <row r="23" spans="1:12" ht="12.75">
      <c r="A23">
        <v>2001</v>
      </c>
      <c r="B23" s="1">
        <f>+'Projected participation by clas'!B23</f>
        <v>539488</v>
      </c>
      <c r="C23" s="1">
        <f>+'Projected participation by clas'!C23</f>
        <v>4421</v>
      </c>
      <c r="D23" s="1">
        <f>+'Projected participation by clas'!D23</f>
        <v>16157</v>
      </c>
      <c r="E23" s="1">
        <f>+'Projected participation by clas'!E23</f>
        <v>5241</v>
      </c>
      <c r="F23" s="1">
        <f>+'Projected participation by clas'!F23</f>
        <v>15670</v>
      </c>
      <c r="G23" s="1">
        <f>+'Projected participation by clas'!G23</f>
        <v>7952</v>
      </c>
      <c r="H23" s="1">
        <f>+'Projected participation by clas'!H23</f>
        <v>2636</v>
      </c>
      <c r="I23" s="1">
        <f>+'Projected participation by clas'!I23</f>
        <v>724</v>
      </c>
      <c r="J23" s="1">
        <f>+'Projected participation by clas'!J23</f>
        <v>235</v>
      </c>
      <c r="K23" s="1">
        <f>+'Projected participation by clas'!K23</f>
        <v>2110</v>
      </c>
      <c r="L23" s="1">
        <f>+'Projected participation by clas'!L23</f>
        <v>594634</v>
      </c>
    </row>
    <row r="24" spans="3:12" ht="12.75">
      <c r="C24" s="1"/>
      <c r="D24" s="1"/>
      <c r="E24" s="1"/>
      <c r="F24" s="1"/>
      <c r="G24" s="1"/>
      <c r="H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K25" s="1"/>
      <c r="L25" s="1"/>
    </row>
    <row r="26" spans="1:13" ht="11.25" customHeight="1">
      <c r="A26" s="4" t="s">
        <v>17</v>
      </c>
      <c r="B26" s="10"/>
      <c r="C26" s="10"/>
      <c r="D26" s="1"/>
      <c r="E26" s="1"/>
      <c r="F26" s="9" t="s">
        <v>11</v>
      </c>
      <c r="G26" s="9"/>
      <c r="H26" s="8"/>
      <c r="I26" s="8"/>
      <c r="J26" s="8"/>
      <c r="K26" s="8"/>
      <c r="L26" s="8"/>
      <c r="M26" s="8"/>
    </row>
    <row r="27" spans="1:17" ht="11.25" customHeight="1">
      <c r="A27" s="9"/>
      <c r="B27" s="10"/>
      <c r="C27" s="10"/>
      <c r="D27" s="1"/>
      <c r="E27" s="1"/>
      <c r="F27" s="15" t="s">
        <v>26</v>
      </c>
      <c r="L27" s="20" t="s">
        <v>36</v>
      </c>
      <c r="Q27" s="24">
        <f>+'Projected participation by clas'!L54</f>
        <v>1</v>
      </c>
    </row>
    <row r="28" spans="1:10" ht="11.25" customHeight="1">
      <c r="A28" s="16" t="s">
        <v>13</v>
      </c>
      <c r="B28" s="17" t="s">
        <v>14</v>
      </c>
      <c r="C28" s="17"/>
      <c r="D28" s="1"/>
      <c r="E28" s="1"/>
      <c r="F28" s="16" t="s">
        <v>28</v>
      </c>
      <c r="H28" s="29">
        <f>+'Projected participation by clas'!C55</f>
        <v>0.407</v>
      </c>
      <c r="J28" s="16"/>
    </row>
    <row r="29" spans="1:8" ht="11.25" customHeight="1">
      <c r="A29" s="16">
        <v>18</v>
      </c>
      <c r="B29" s="18">
        <f>+'Projected participation by clas'!B29</f>
        <v>0.6</v>
      </c>
      <c r="C29" s="10"/>
      <c r="D29" s="1"/>
      <c r="E29" s="1"/>
      <c r="F29" s="16" t="s">
        <v>27</v>
      </c>
      <c r="H29" s="29">
        <f>+'Projected participation by clas'!C56</f>
        <v>0.224</v>
      </c>
    </row>
    <row r="30" spans="1:8" ht="11.25" customHeight="1">
      <c r="A30" s="16">
        <v>19</v>
      </c>
      <c r="B30" s="18">
        <f>+'Projected participation by clas'!B30</f>
        <v>0.28</v>
      </c>
      <c r="C30" s="10"/>
      <c r="D30" s="1"/>
      <c r="E30" s="1"/>
      <c r="F30" s="16" t="s">
        <v>29</v>
      </c>
      <c r="H30" s="56">
        <f>+'Projected participation by clas'!C57</f>
        <v>1.8169642857142856</v>
      </c>
    </row>
    <row r="31" spans="1:19" ht="11.25" customHeight="1">
      <c r="A31" s="16">
        <v>20</v>
      </c>
      <c r="B31" s="18">
        <f>+'Projected participation by clas'!B31</f>
        <v>0.12</v>
      </c>
      <c r="C31" s="10"/>
      <c r="D31" s="1"/>
      <c r="E31" s="1"/>
      <c r="F31" s="1"/>
      <c r="G31" s="1"/>
      <c r="H31" s="1"/>
      <c r="K31" s="1"/>
      <c r="L31" s="1"/>
      <c r="O31" s="20" t="s">
        <v>23</v>
      </c>
      <c r="S31">
        <f>+F49*(1-F36)/(F36*(1-F49))</f>
        <v>1.4222106446667822</v>
      </c>
    </row>
    <row r="32" spans="1:22" ht="11.25" customHeight="1">
      <c r="A32" s="16"/>
      <c r="B32" s="18"/>
      <c r="C32" s="10"/>
      <c r="D32" s="1"/>
      <c r="E32" s="1"/>
      <c r="F32" s="1"/>
      <c r="G32" s="1"/>
      <c r="H32" s="1"/>
      <c r="K32" s="1"/>
      <c r="L32" s="1"/>
      <c r="O32" s="20" t="s">
        <v>24</v>
      </c>
      <c r="S32">
        <f>+S31^(1/13)</f>
        <v>1.0274636253291656</v>
      </c>
      <c r="V32" s="4" t="s">
        <v>15</v>
      </c>
    </row>
    <row r="33" spans="1:12" ht="11.25" customHeight="1">
      <c r="A33" s="4" t="s">
        <v>19</v>
      </c>
      <c r="B33" s="111" t="s">
        <v>141</v>
      </c>
      <c r="C33" s="111"/>
      <c r="D33" s="53" t="s">
        <v>78</v>
      </c>
      <c r="F33" s="108" t="s">
        <v>22</v>
      </c>
      <c r="G33" s="109"/>
      <c r="H33" s="109"/>
      <c r="J33" s="1"/>
      <c r="K33" s="54" t="s">
        <v>25</v>
      </c>
      <c r="L33" s="55"/>
    </row>
    <row r="34" spans="2:28" ht="11.25" customHeight="1">
      <c r="B34" s="91" t="s">
        <v>140</v>
      </c>
      <c r="C34" s="91" t="s">
        <v>142</v>
      </c>
      <c r="F34" s="20" t="s">
        <v>20</v>
      </c>
      <c r="H34" s="20" t="s">
        <v>21</v>
      </c>
      <c r="I34" s="11"/>
      <c r="J34" s="20" t="s">
        <v>20</v>
      </c>
      <c r="L34" s="20" t="s">
        <v>21</v>
      </c>
      <c r="O34" s="23" t="s">
        <v>68</v>
      </c>
      <c r="V34" s="6" t="s">
        <v>3</v>
      </c>
      <c r="W34" s="6" t="s">
        <v>4</v>
      </c>
      <c r="X34" s="6" t="s">
        <v>5</v>
      </c>
      <c r="Y34" s="6" t="s">
        <v>6</v>
      </c>
      <c r="Z34" s="6" t="s">
        <v>7</v>
      </c>
      <c r="AA34" s="6" t="s">
        <v>8</v>
      </c>
      <c r="AB34" s="19" t="s">
        <v>16</v>
      </c>
    </row>
    <row r="35" spans="1:12" ht="11.25" customHeight="1">
      <c r="A35" s="2"/>
      <c r="B35" s="11"/>
      <c r="F35" s="20"/>
      <c r="H35" s="20"/>
      <c r="I35" s="11"/>
      <c r="J35" s="11"/>
      <c r="K35" s="11"/>
      <c r="L35" s="11"/>
    </row>
    <row r="36" spans="1:28" ht="11.25" customHeight="1">
      <c r="A36" s="78">
        <v>2006</v>
      </c>
      <c r="B36" s="57">
        <f>+($Q$27*F36*$H$30+(1-$Q$27*F36))/($Q$27*$F$37*$H$30+(1-$Q$27*$F$37))</f>
        <v>0.9963832301772787</v>
      </c>
      <c r="C36" s="24"/>
      <c r="D36" s="53" t="s">
        <v>143</v>
      </c>
      <c r="F36" s="14">
        <f aca="true" t="shared" si="0" ref="F36:F49">SUM(V36:X36)/AB36</f>
        <v>0.4052679658952497</v>
      </c>
      <c r="H36" s="14">
        <f aca="true" t="shared" si="1" ref="H36:H49">SUM(Y36:AA36)/AB36</f>
        <v>0.5947320341047502</v>
      </c>
      <c r="I36" s="11"/>
      <c r="J36" s="14">
        <f aca="true" t="shared" si="2" ref="J36:J51">+O36/(1+O36)</f>
        <v>0.4052679658952497</v>
      </c>
      <c r="K36" s="14"/>
      <c r="L36" s="14">
        <f>1-J36</f>
        <v>0.5947320341047503</v>
      </c>
      <c r="O36">
        <f aca="true" t="shared" si="3" ref="O36:O51">+$F$36/(1-$F$36)*$S$32^(A36-2006)</f>
        <v>0.6814295222978854</v>
      </c>
      <c r="U36" s="2">
        <v>2006</v>
      </c>
      <c r="V36" s="11">
        <f aca="true" t="shared" si="4" ref="V36:AA49">+(C10*$B$29+C9*$B$30+C8*$B$31)</f>
        <v>4403.8</v>
      </c>
      <c r="W36" s="11">
        <f t="shared" si="4"/>
        <v>13879.72</v>
      </c>
      <c r="X36" s="11">
        <f t="shared" si="4"/>
        <v>6205.04</v>
      </c>
      <c r="Y36" s="11">
        <f t="shared" si="4"/>
        <v>22509.879999999997</v>
      </c>
      <c r="Z36" s="11">
        <f t="shared" si="4"/>
        <v>9274.56</v>
      </c>
      <c r="AA36" s="11">
        <f t="shared" si="4"/>
        <v>4152.599999999999</v>
      </c>
      <c r="AB36" s="11">
        <f>SUM(V36:AA36)</f>
        <v>60425.6</v>
      </c>
    </row>
    <row r="37" spans="1:28" ht="11.25" customHeight="1">
      <c r="A37" s="2">
        <v>2007</v>
      </c>
      <c r="B37" s="57">
        <f aca="true" t="shared" si="5" ref="B37:B49">+($Q$27*F37*$H$30+(1-$Q$27*F37))/($Q$27*$F$37*$H$30+(1-$Q$27*$F$37))</f>
        <v>1</v>
      </c>
      <c r="C37" s="24"/>
      <c r="D37" s="53"/>
      <c r="F37" s="14">
        <f t="shared" si="0"/>
        <v>0.4111822016469736</v>
      </c>
      <c r="H37" s="14">
        <f t="shared" si="1"/>
        <v>0.5888177983530265</v>
      </c>
      <c r="I37" s="14"/>
      <c r="J37" s="14">
        <f t="shared" si="2"/>
        <v>0.4118145450456279</v>
      </c>
      <c r="K37" s="14"/>
      <c r="L37" s="14">
        <f aca="true" t="shared" si="6" ref="L37:L49">1-J37</f>
        <v>0.5881854549543721</v>
      </c>
      <c r="O37">
        <f t="shared" si="3"/>
        <v>0.7001440473865068</v>
      </c>
      <c r="U37" s="2">
        <f aca="true" t="shared" si="7" ref="U37:U49">+U36+1</f>
        <v>2007</v>
      </c>
      <c r="V37" s="11">
        <f t="shared" si="4"/>
        <v>4542.16</v>
      </c>
      <c r="W37" s="11">
        <f t="shared" si="4"/>
        <v>14437.320000000002</v>
      </c>
      <c r="X37" s="11">
        <f t="shared" si="4"/>
        <v>5932.52</v>
      </c>
      <c r="Y37" s="11">
        <f t="shared" si="4"/>
        <v>22594.719999999998</v>
      </c>
      <c r="Z37" s="11">
        <f t="shared" si="4"/>
        <v>9141</v>
      </c>
      <c r="AA37" s="11">
        <f t="shared" si="4"/>
        <v>3938.56</v>
      </c>
      <c r="AB37" s="11">
        <f aca="true" t="shared" si="8" ref="AB37:AB49">SUM(V37:AA37)</f>
        <v>60586.28</v>
      </c>
    </row>
    <row r="38" spans="1:28" ht="12.75">
      <c r="A38" s="2">
        <f aca="true" t="shared" si="9" ref="A38:A60">+A37+1</f>
        <v>2008</v>
      </c>
      <c r="B38" s="57">
        <f t="shared" si="5"/>
        <v>1.0039716862765797</v>
      </c>
      <c r="C38" s="24"/>
      <c r="D38" s="53" t="s">
        <v>144</v>
      </c>
      <c r="F38" s="14">
        <f t="shared" si="0"/>
        <v>0.41767680598259177</v>
      </c>
      <c r="H38" s="14">
        <f t="shared" si="1"/>
        <v>0.5823231940174083</v>
      </c>
      <c r="I38" s="14"/>
      <c r="J38" s="14">
        <f t="shared" si="2"/>
        <v>0.4183924797859777</v>
      </c>
      <c r="K38" s="14"/>
      <c r="L38" s="14">
        <f t="shared" si="6"/>
        <v>0.5816075202140223</v>
      </c>
      <c r="O38">
        <f t="shared" si="3"/>
        <v>0.7193725411803754</v>
      </c>
      <c r="U38" s="2">
        <f t="shared" si="7"/>
        <v>2008</v>
      </c>
      <c r="V38" s="11">
        <f t="shared" si="4"/>
        <v>4660.080000000001</v>
      </c>
      <c r="W38" s="11">
        <f t="shared" si="4"/>
        <v>14995.359999999999</v>
      </c>
      <c r="X38" s="11">
        <f t="shared" si="4"/>
        <v>6117.039999999999</v>
      </c>
      <c r="Y38" s="11">
        <f t="shared" si="4"/>
        <v>22935.64</v>
      </c>
      <c r="Z38" s="11">
        <f t="shared" si="4"/>
        <v>9157.76</v>
      </c>
      <c r="AA38" s="11">
        <f t="shared" si="4"/>
        <v>3838.4800000000005</v>
      </c>
      <c r="AB38" s="11">
        <f t="shared" si="8"/>
        <v>61704.36</v>
      </c>
    </row>
    <row r="39" spans="1:28" ht="12.75">
      <c r="A39" s="2">
        <f t="shared" si="9"/>
        <v>2009</v>
      </c>
      <c r="B39" s="57">
        <f t="shared" si="5"/>
        <v>1.0069768336694724</v>
      </c>
      <c r="C39" s="24"/>
      <c r="D39" s="53"/>
      <c r="F39" s="14">
        <f t="shared" si="0"/>
        <v>0.4225909008853396</v>
      </c>
      <c r="H39" s="14">
        <f t="shared" si="1"/>
        <v>0.5774090991146603</v>
      </c>
      <c r="I39" s="14"/>
      <c r="J39" s="14">
        <f t="shared" si="2"/>
        <v>0.4249995650098593</v>
      </c>
      <c r="K39" s="14"/>
      <c r="L39" s="14">
        <f t="shared" si="6"/>
        <v>0.5750004349901408</v>
      </c>
      <c r="O39">
        <f t="shared" si="3"/>
        <v>0.739129119123443</v>
      </c>
      <c r="U39" s="2">
        <f t="shared" si="7"/>
        <v>2009</v>
      </c>
      <c r="V39" s="11">
        <f t="shared" si="4"/>
        <v>4587.16</v>
      </c>
      <c r="W39" s="11">
        <f t="shared" si="4"/>
        <v>15323.48</v>
      </c>
      <c r="X39" s="11">
        <f t="shared" si="4"/>
        <v>6120.52</v>
      </c>
      <c r="Y39" s="11">
        <f t="shared" si="4"/>
        <v>22907.2</v>
      </c>
      <c r="Z39" s="11">
        <f t="shared" si="4"/>
        <v>8827.72</v>
      </c>
      <c r="AA39" s="11">
        <f t="shared" si="4"/>
        <v>3832.88</v>
      </c>
      <c r="AB39" s="11">
        <f t="shared" si="8"/>
        <v>61598.96</v>
      </c>
    </row>
    <row r="40" spans="1:28" ht="12.75">
      <c r="A40" s="2">
        <f t="shared" si="9"/>
        <v>2010</v>
      </c>
      <c r="B40" s="57">
        <f t="shared" si="5"/>
        <v>1.0103029687620115</v>
      </c>
      <c r="C40" s="24"/>
      <c r="D40" s="53" t="s">
        <v>65</v>
      </c>
      <c r="F40" s="14">
        <f t="shared" si="0"/>
        <v>0.4280298831937458</v>
      </c>
      <c r="H40" s="14">
        <f t="shared" si="1"/>
        <v>0.5719701168062542</v>
      </c>
      <c r="I40" s="14"/>
      <c r="J40" s="14">
        <f t="shared" si="2"/>
        <v>0.4316335545407222</v>
      </c>
      <c r="K40" s="14"/>
      <c r="L40" s="14">
        <f t="shared" si="6"/>
        <v>0.5683664454592778</v>
      </c>
      <c r="O40">
        <f t="shared" si="3"/>
        <v>0.7594282843209255</v>
      </c>
      <c r="U40" s="2">
        <f t="shared" si="7"/>
        <v>2010</v>
      </c>
      <c r="V40" s="11">
        <f t="shared" si="4"/>
        <v>4562.34</v>
      </c>
      <c r="W40" s="11">
        <f t="shared" si="4"/>
        <v>15279.36</v>
      </c>
      <c r="X40" s="11">
        <f t="shared" si="4"/>
        <v>6186.84</v>
      </c>
      <c r="Y40" s="11">
        <f t="shared" si="4"/>
        <v>22189.28</v>
      </c>
      <c r="Z40" s="11">
        <f t="shared" si="4"/>
        <v>8806.880000000001</v>
      </c>
      <c r="AA40" s="11">
        <f t="shared" si="4"/>
        <v>3785.4</v>
      </c>
      <c r="AB40" s="11">
        <f t="shared" si="8"/>
        <v>60810.1</v>
      </c>
    </row>
    <row r="41" spans="1:28" ht="12.75">
      <c r="A41" s="2">
        <f t="shared" si="9"/>
        <v>2011</v>
      </c>
      <c r="B41" s="57">
        <f t="shared" si="5"/>
        <v>1.0139207295877826</v>
      </c>
      <c r="C41" s="24"/>
      <c r="D41" s="53"/>
      <c r="F41" s="14">
        <f t="shared" si="0"/>
        <v>0.43394573945934084</v>
      </c>
      <c r="H41" s="14">
        <f t="shared" si="1"/>
        <v>0.5660542605406591</v>
      </c>
      <c r="I41" s="14"/>
      <c r="J41" s="14">
        <f t="shared" si="2"/>
        <v>0.4382921640515581</v>
      </c>
      <c r="K41" s="14"/>
      <c r="L41" s="14">
        <f t="shared" si="6"/>
        <v>0.561707835948442</v>
      </c>
      <c r="O41">
        <f t="shared" si="3"/>
        <v>0.7802849381858865</v>
      </c>
      <c r="U41" s="2">
        <f t="shared" si="7"/>
        <v>2011</v>
      </c>
      <c r="V41" s="11">
        <f t="shared" si="4"/>
        <v>4567.58</v>
      </c>
      <c r="W41" s="11">
        <f t="shared" si="4"/>
        <v>15066.800000000001</v>
      </c>
      <c r="X41" s="11">
        <f t="shared" si="4"/>
        <v>6229.68</v>
      </c>
      <c r="Y41" s="11">
        <f t="shared" si="4"/>
        <v>21122.920000000002</v>
      </c>
      <c r="Z41" s="11">
        <f t="shared" si="4"/>
        <v>8915.48</v>
      </c>
      <c r="AA41" s="11">
        <f t="shared" si="4"/>
        <v>3699.6</v>
      </c>
      <c r="AB41" s="11">
        <f t="shared" si="8"/>
        <v>59602.060000000005</v>
      </c>
    </row>
    <row r="42" spans="1:28" ht="12.75">
      <c r="A42" s="2">
        <f t="shared" si="9"/>
        <v>2012</v>
      </c>
      <c r="B42" s="57">
        <f t="shared" si="5"/>
        <v>1.017805949459912</v>
      </c>
      <c r="C42" s="24"/>
      <c r="D42" s="53" t="s">
        <v>145</v>
      </c>
      <c r="F42" s="14">
        <f t="shared" si="0"/>
        <v>0.44029895168940975</v>
      </c>
      <c r="H42" s="14">
        <f t="shared" si="1"/>
        <v>0.5597010483105903</v>
      </c>
      <c r="I42" s="14"/>
      <c r="J42" s="14">
        <f t="shared" si="2"/>
        <v>0.4449730740980241</v>
      </c>
      <c r="K42" s="14"/>
      <c r="L42" s="14">
        <f t="shared" si="6"/>
        <v>0.5550269259019759</v>
      </c>
      <c r="O42">
        <f t="shared" si="3"/>
        <v>0.8017143913782148</v>
      </c>
      <c r="U42" s="2">
        <f t="shared" si="7"/>
        <v>2012</v>
      </c>
      <c r="V42" s="11">
        <f t="shared" si="4"/>
        <v>4616.9800000000005</v>
      </c>
      <c r="W42" s="11">
        <f t="shared" si="4"/>
        <v>14990.800000000001</v>
      </c>
      <c r="X42" s="11">
        <f t="shared" si="4"/>
        <v>6280.68</v>
      </c>
      <c r="Y42" s="11">
        <f t="shared" si="4"/>
        <v>20416.32</v>
      </c>
      <c r="Z42" s="11">
        <f t="shared" si="4"/>
        <v>8859.68</v>
      </c>
      <c r="AA42" s="11">
        <f t="shared" si="4"/>
        <v>3633</v>
      </c>
      <c r="AB42" s="11">
        <f t="shared" si="8"/>
        <v>58797.46</v>
      </c>
    </row>
    <row r="43" spans="1:28" ht="12.75">
      <c r="A43" s="2">
        <f t="shared" si="9"/>
        <v>2013</v>
      </c>
      <c r="B43" s="57">
        <f t="shared" si="5"/>
        <v>1.0207491983456622</v>
      </c>
      <c r="C43" s="24"/>
      <c r="D43" s="53"/>
      <c r="F43" s="14">
        <f t="shared" si="0"/>
        <v>0.4451118285490236</v>
      </c>
      <c r="H43" s="14">
        <f t="shared" si="1"/>
        <v>0.5548881714509766</v>
      </c>
      <c r="I43" s="14"/>
      <c r="J43" s="14">
        <f t="shared" si="2"/>
        <v>0.45167393325686866</v>
      </c>
      <c r="K43" s="14"/>
      <c r="L43" s="14">
        <f t="shared" si="6"/>
        <v>0.5483260667431313</v>
      </c>
      <c r="O43">
        <f t="shared" si="3"/>
        <v>0.8237323750440261</v>
      </c>
      <c r="U43" s="2">
        <f t="shared" si="7"/>
        <v>2013</v>
      </c>
      <c r="V43" s="11">
        <f t="shared" si="4"/>
        <v>4578.4</v>
      </c>
      <c r="W43" s="11">
        <f t="shared" si="4"/>
        <v>14847.6</v>
      </c>
      <c r="X43" s="11">
        <f t="shared" si="4"/>
        <v>6184.88</v>
      </c>
      <c r="Y43" s="11">
        <f t="shared" si="4"/>
        <v>19636.04</v>
      </c>
      <c r="Z43" s="11">
        <f t="shared" si="4"/>
        <v>8790.84</v>
      </c>
      <c r="AA43" s="11">
        <f t="shared" si="4"/>
        <v>3500.32</v>
      </c>
      <c r="AB43" s="11">
        <f t="shared" si="8"/>
        <v>57538.079999999994</v>
      </c>
    </row>
    <row r="44" spans="1:28" ht="12.75">
      <c r="A44" s="2">
        <f t="shared" si="9"/>
        <v>2014</v>
      </c>
      <c r="B44" s="57">
        <f t="shared" si="5"/>
        <v>1.0235731393272465</v>
      </c>
      <c r="C44" s="24"/>
      <c r="D44" s="53" t="s">
        <v>150</v>
      </c>
      <c r="F44" s="14">
        <f t="shared" si="0"/>
        <v>0.44972961003158346</v>
      </c>
      <c r="H44" s="14">
        <f t="shared" si="1"/>
        <v>0.5502703899684166</v>
      </c>
      <c r="I44" s="14"/>
      <c r="J44" s="14">
        <f t="shared" si="2"/>
        <v>0.45839236136095224</v>
      </c>
      <c r="K44" s="14"/>
      <c r="L44" s="14">
        <f t="shared" si="6"/>
        <v>0.5416076386390478</v>
      </c>
      <c r="O44">
        <f t="shared" si="3"/>
        <v>0.846355052363739</v>
      </c>
      <c r="U44" s="2">
        <f t="shared" si="7"/>
        <v>2014</v>
      </c>
      <c r="V44" s="11">
        <f t="shared" si="4"/>
        <v>4508.68</v>
      </c>
      <c r="W44" s="11">
        <f t="shared" si="4"/>
        <v>14998.48</v>
      </c>
      <c r="X44" s="11">
        <f t="shared" si="4"/>
        <v>6163.64</v>
      </c>
      <c r="Y44" s="11">
        <f t="shared" si="4"/>
        <v>19140.120000000003</v>
      </c>
      <c r="Z44" s="11">
        <f t="shared" si="4"/>
        <v>9015.68</v>
      </c>
      <c r="AA44" s="11">
        <f t="shared" si="4"/>
        <v>3253.92</v>
      </c>
      <c r="AB44" s="11">
        <f t="shared" si="8"/>
        <v>57080.52</v>
      </c>
    </row>
    <row r="45" spans="1:28" ht="12.75">
      <c r="A45" s="2">
        <f t="shared" si="9"/>
        <v>2015</v>
      </c>
      <c r="B45" s="57">
        <f t="shared" si="5"/>
        <v>1.0273522804159576</v>
      </c>
      <c r="C45" s="24"/>
      <c r="D45" s="53"/>
      <c r="F45" s="14">
        <f t="shared" si="0"/>
        <v>0.4559093594857102</v>
      </c>
      <c r="H45" s="14">
        <f t="shared" si="1"/>
        <v>0.5440906405142898</v>
      </c>
      <c r="I45" s="14"/>
      <c r="J45" s="14">
        <f t="shared" si="2"/>
        <v>0.46512595282166175</v>
      </c>
      <c r="K45" s="14"/>
      <c r="L45" s="14">
        <f t="shared" si="6"/>
        <v>0.5348740471783382</v>
      </c>
      <c r="O45">
        <f t="shared" si="3"/>
        <v>0.869599030417303</v>
      </c>
      <c r="U45" s="2">
        <f t="shared" si="7"/>
        <v>2015</v>
      </c>
      <c r="V45" s="11">
        <f t="shared" si="4"/>
        <v>4410.24</v>
      </c>
      <c r="W45" s="11">
        <f t="shared" si="4"/>
        <v>15359.32</v>
      </c>
      <c r="X45" s="11">
        <f t="shared" si="4"/>
        <v>5939.879999999999</v>
      </c>
      <c r="Y45" s="11">
        <f t="shared" si="4"/>
        <v>18483.12</v>
      </c>
      <c r="Z45" s="11">
        <f t="shared" si="4"/>
        <v>9021.640000000001</v>
      </c>
      <c r="AA45" s="11">
        <f t="shared" si="4"/>
        <v>3177.3599999999997</v>
      </c>
      <c r="AB45" s="11">
        <f t="shared" si="8"/>
        <v>56391.56</v>
      </c>
    </row>
    <row r="46" spans="1:28" ht="12.75">
      <c r="A46" s="2">
        <f t="shared" si="9"/>
        <v>2016</v>
      </c>
      <c r="B46" s="57">
        <f t="shared" si="5"/>
        <v>1.0318644742586303</v>
      </c>
      <c r="C46" s="24"/>
      <c r="D46" s="53" t="s">
        <v>151</v>
      </c>
      <c r="F46" s="14">
        <f t="shared" si="0"/>
        <v>0.4632878158020052</v>
      </c>
      <c r="H46" s="14">
        <f t="shared" si="1"/>
        <v>0.5367121841979949</v>
      </c>
      <c r="I46" s="14"/>
      <c r="J46" s="14">
        <f t="shared" si="2"/>
        <v>0.47187228002906423</v>
      </c>
      <c r="K46" s="14"/>
      <c r="L46" s="14">
        <f t="shared" si="6"/>
        <v>0.5281277199709358</v>
      </c>
      <c r="O46">
        <f t="shared" si="3"/>
        <v>0.8934813723752896</v>
      </c>
      <c r="U46" s="2">
        <f t="shared" si="7"/>
        <v>2016</v>
      </c>
      <c r="V46" s="11">
        <f t="shared" si="4"/>
        <v>4451.72</v>
      </c>
      <c r="W46" s="11">
        <f t="shared" si="4"/>
        <v>15673.199999999999</v>
      </c>
      <c r="X46" s="11">
        <f t="shared" si="4"/>
        <v>5792.92</v>
      </c>
      <c r="Y46" s="11">
        <f t="shared" si="4"/>
        <v>17886.84</v>
      </c>
      <c r="Z46" s="11">
        <f t="shared" si="4"/>
        <v>9048.84</v>
      </c>
      <c r="AA46" s="11">
        <f t="shared" si="4"/>
        <v>3089.7599999999998</v>
      </c>
      <c r="AB46" s="11">
        <f t="shared" si="8"/>
        <v>55943.27999999999</v>
      </c>
    </row>
    <row r="47" spans="1:28" ht="12.75">
      <c r="A47" s="2">
        <f t="shared" si="9"/>
        <v>2017</v>
      </c>
      <c r="B47" s="57">
        <f t="shared" si="5"/>
        <v>1.0394965417000115</v>
      </c>
      <c r="C47" s="24"/>
      <c r="D47" s="53"/>
      <c r="F47" s="14">
        <f t="shared" si="0"/>
        <v>0.47576797028621365</v>
      </c>
      <c r="H47" s="14">
        <f t="shared" si="1"/>
        <v>0.5242320297137862</v>
      </c>
      <c r="I47" s="14"/>
      <c r="J47" s="14">
        <f t="shared" si="2"/>
        <v>0.4786288968197392</v>
      </c>
      <c r="K47" s="14"/>
      <c r="L47" s="14">
        <f t="shared" si="6"/>
        <v>0.5213711031802608</v>
      </c>
      <c r="O47">
        <f t="shared" si="3"/>
        <v>0.918019610024793</v>
      </c>
      <c r="U47" s="2">
        <f t="shared" si="7"/>
        <v>2017</v>
      </c>
      <c r="V47" s="11">
        <f t="shared" si="4"/>
        <v>4538</v>
      </c>
      <c r="W47" s="11">
        <f t="shared" si="4"/>
        <v>15989.92</v>
      </c>
      <c r="X47" s="11">
        <f t="shared" si="4"/>
        <v>5603.16</v>
      </c>
      <c r="Y47" s="11">
        <f t="shared" si="4"/>
        <v>17153.12</v>
      </c>
      <c r="Z47" s="11">
        <f t="shared" si="4"/>
        <v>8690.72</v>
      </c>
      <c r="AA47" s="11">
        <f t="shared" si="4"/>
        <v>2949.08</v>
      </c>
      <c r="AB47" s="11">
        <f t="shared" si="8"/>
        <v>54924</v>
      </c>
    </row>
    <row r="48" spans="1:28" ht="12.75">
      <c r="A48" s="2">
        <f t="shared" si="9"/>
        <v>2018</v>
      </c>
      <c r="B48" s="57">
        <f t="shared" si="5"/>
        <v>1.044744205108953</v>
      </c>
      <c r="C48" s="24"/>
      <c r="D48" s="53" t="s">
        <v>146</v>
      </c>
      <c r="F48" s="14">
        <f t="shared" si="0"/>
        <v>0.48434908549879957</v>
      </c>
      <c r="H48" s="14">
        <f t="shared" si="1"/>
        <v>0.5156509145012006</v>
      </c>
      <c r="I48" s="14"/>
      <c r="J48" s="14">
        <f t="shared" si="2"/>
        <v>0.4853933420018734</v>
      </c>
      <c r="K48" s="14"/>
      <c r="L48" s="14">
        <f t="shared" si="6"/>
        <v>0.5146066579981265</v>
      </c>
      <c r="O48">
        <f t="shared" si="3"/>
        <v>0.9432317566393408</v>
      </c>
      <c r="U48" s="2">
        <f t="shared" si="7"/>
        <v>2018</v>
      </c>
      <c r="V48" s="11">
        <f t="shared" si="4"/>
        <v>4586.96</v>
      </c>
      <c r="W48" s="11">
        <f t="shared" si="4"/>
        <v>16006.12</v>
      </c>
      <c r="X48" s="11">
        <f t="shared" si="4"/>
        <v>5398.08</v>
      </c>
      <c r="Y48" s="11">
        <f t="shared" si="4"/>
        <v>16411.280000000002</v>
      </c>
      <c r="Z48" s="11">
        <f t="shared" si="4"/>
        <v>8479</v>
      </c>
      <c r="AA48" s="11">
        <f t="shared" si="4"/>
        <v>2780.6000000000004</v>
      </c>
      <c r="AB48" s="11">
        <f t="shared" si="8"/>
        <v>53662.04</v>
      </c>
    </row>
    <row r="49" spans="1:28" ht="12.75">
      <c r="A49" s="2">
        <f t="shared" si="9"/>
        <v>2019</v>
      </c>
      <c r="B49" s="57">
        <f t="shared" si="5"/>
        <v>1.0495227848418847</v>
      </c>
      <c r="C49" s="24"/>
      <c r="D49" s="53"/>
      <c r="F49" s="14">
        <f t="shared" si="0"/>
        <v>0.49216314292690083</v>
      </c>
      <c r="H49" s="14">
        <f t="shared" si="1"/>
        <v>0.5078368570730992</v>
      </c>
      <c r="I49" s="14"/>
      <c r="J49" s="14">
        <f t="shared" si="2"/>
        <v>0.4921631429269012</v>
      </c>
      <c r="K49" s="14"/>
      <c r="L49" s="14">
        <f t="shared" si="6"/>
        <v>0.5078368570730988</v>
      </c>
      <c r="O49">
        <f t="shared" si="3"/>
        <v>0.9691363202022544</v>
      </c>
      <c r="U49" s="2">
        <f t="shared" si="7"/>
        <v>2019</v>
      </c>
      <c r="V49" s="11">
        <f t="shared" si="4"/>
        <v>4492.5599999999995</v>
      </c>
      <c r="W49" s="11">
        <f t="shared" si="4"/>
        <v>16105.399999999998</v>
      </c>
      <c r="X49" s="11">
        <f t="shared" si="4"/>
        <v>5284.879999999999</v>
      </c>
      <c r="Y49" s="11">
        <f t="shared" si="4"/>
        <v>15898.039999999999</v>
      </c>
      <c r="Z49" s="11">
        <f t="shared" si="4"/>
        <v>8131.32</v>
      </c>
      <c r="AA49" s="11">
        <f t="shared" si="4"/>
        <v>2677.76</v>
      </c>
      <c r="AB49" s="11">
        <f t="shared" si="8"/>
        <v>52589.96</v>
      </c>
    </row>
    <row r="50" spans="1:15" ht="12.75">
      <c r="A50" s="2">
        <f t="shared" si="9"/>
        <v>2020</v>
      </c>
      <c r="B50" s="57"/>
      <c r="C50" s="58">
        <f>+($Q$27*J50*$H$30+(1-$Q$27*J50))/($Q$27*$F$37*$H$30+(1-$Q$27*$F$37))</f>
        <v>1.0536645221378558</v>
      </c>
      <c r="D50" s="53" t="s">
        <v>66</v>
      </c>
      <c r="F50" s="14"/>
      <c r="H50" s="14"/>
      <c r="I50" s="14"/>
      <c r="J50" s="14">
        <f t="shared" si="2"/>
        <v>0.49893581909672435</v>
      </c>
      <c r="K50" s="14"/>
      <c r="L50" s="14">
        <f>1-J50</f>
        <v>0.5010641809032756</v>
      </c>
      <c r="O50">
        <f t="shared" si="3"/>
        <v>0.9957523169931753</v>
      </c>
    </row>
    <row r="51" spans="1:15" ht="12.75">
      <c r="A51" s="2">
        <f t="shared" si="9"/>
        <v>2021</v>
      </c>
      <c r="B51" s="24"/>
      <c r="C51" s="58">
        <f aca="true" t="shared" si="10" ref="C51:C60">+($Q$27*J51*$H$30+(1-$Q$27*J51))/($Q$27*$F$37*$H$30+(1-$Q$27*$F$37))</f>
        <v>1.0578064982563686</v>
      </c>
      <c r="D51" s="53"/>
      <c r="F51" s="14"/>
      <c r="H51" s="14"/>
      <c r="I51" s="14"/>
      <c r="J51" s="14">
        <f t="shared" si="2"/>
        <v>0.5057088857953579</v>
      </c>
      <c r="K51" s="14"/>
      <c r="L51" s="14">
        <f>1-J51</f>
        <v>0.4942911142046421</v>
      </c>
      <c r="O51">
        <f t="shared" si="3"/>
        <v>1.0230992855477243</v>
      </c>
    </row>
    <row r="52" spans="1:15" ht="12.75">
      <c r="A52" s="2">
        <f t="shared" si="9"/>
        <v>2022</v>
      </c>
      <c r="B52" s="24"/>
      <c r="C52" s="58">
        <f t="shared" si="10"/>
        <v>1.0619471933529439</v>
      </c>
      <c r="D52" s="53" t="s">
        <v>147</v>
      </c>
      <c r="J52" s="14">
        <f aca="true" t="shared" si="11" ref="J52:J60">+O52/(1+O52)</f>
        <v>0.5124798577337175</v>
      </c>
      <c r="K52" s="14"/>
      <c r="L52" s="14">
        <f aca="true" t="shared" si="12" ref="L52:L60">1-J52</f>
        <v>0.4875201422662825</v>
      </c>
      <c r="O52">
        <f aca="true" t="shared" si="13" ref="O52:O60">+$F$36/(1-$F$36)*$S$32^(A52-2006)</f>
        <v>1.051197301000544</v>
      </c>
    </row>
    <row r="53" spans="1:16" ht="12.75">
      <c r="A53" s="2">
        <f t="shared" si="9"/>
        <v>2023</v>
      </c>
      <c r="B53" s="24"/>
      <c r="C53" s="58">
        <f t="shared" si="10"/>
        <v>1.066085089462641</v>
      </c>
      <c r="D53" s="53"/>
      <c r="J53" s="14">
        <f t="shared" si="11"/>
        <v>0.519246252696192</v>
      </c>
      <c r="K53" s="14"/>
      <c r="L53" s="14">
        <f t="shared" si="12"/>
        <v>0.48075374730380804</v>
      </c>
      <c r="O53">
        <f t="shared" si="13"/>
        <v>1.080066989822253</v>
      </c>
      <c r="P53" s="9"/>
    </row>
    <row r="54" spans="1:15" ht="12.75">
      <c r="A54" s="2">
        <f t="shared" si="9"/>
        <v>2024</v>
      </c>
      <c r="B54" s="24"/>
      <c r="C54" s="58">
        <f t="shared" si="10"/>
        <v>1.070218672724217</v>
      </c>
      <c r="D54" s="53" t="s">
        <v>148</v>
      </c>
      <c r="J54" s="14">
        <f t="shared" si="11"/>
        <v>0.52600559517764</v>
      </c>
      <c r="K54" s="14"/>
      <c r="L54" s="14">
        <f t="shared" si="12"/>
        <v>0.47399440482236</v>
      </c>
      <c r="O54">
        <f t="shared" si="13"/>
        <v>1.1097295449611313</v>
      </c>
    </row>
    <row r="55" spans="1:15" ht="12.75">
      <c r="A55" s="2">
        <f t="shared" si="9"/>
        <v>2025</v>
      </c>
      <c r="B55" s="24"/>
      <c r="C55" s="58">
        <f t="shared" si="10"/>
        <v>1.0743464355915016</v>
      </c>
      <c r="D55" s="53"/>
      <c r="J55" s="14">
        <f t="shared" si="11"/>
        <v>0.5327554199994929</v>
      </c>
      <c r="K55" s="14"/>
      <c r="L55" s="14">
        <f t="shared" si="12"/>
        <v>0.46724458000050706</v>
      </c>
      <c r="O55">
        <f t="shared" si="13"/>
        <v>1.1402067414006491</v>
      </c>
    </row>
    <row r="56" spans="1:15" ht="12.75">
      <c r="A56" s="2">
        <f t="shared" si="9"/>
        <v>2026</v>
      </c>
      <c r="B56" s="24"/>
      <c r="C56" s="58">
        <f t="shared" si="10"/>
        <v>1.0784668790251535</v>
      </c>
      <c r="D56" s="53" t="s">
        <v>77</v>
      </c>
      <c r="J56" s="14">
        <f t="shared" si="11"/>
        <v>0.5394932758937686</v>
      </c>
      <c r="K56" s="14"/>
      <c r="L56" s="14">
        <f t="shared" si="12"/>
        <v>0.4605067241062314</v>
      </c>
      <c r="O56">
        <f t="shared" si="13"/>
        <v>1.1715209521442655</v>
      </c>
    </row>
    <row r="57" spans="1:16" ht="12.75">
      <c r="A57" s="2">
        <f t="shared" si="9"/>
        <v>2027</v>
      </c>
      <c r="B57" s="24"/>
      <c r="C57" s="58">
        <f t="shared" si="10"/>
        <v>1.0825785146580411</v>
      </c>
      <c r="D57" s="53"/>
      <c r="J57" s="14">
        <f t="shared" si="11"/>
        <v>0.546216729043958</v>
      </c>
      <c r="K57" s="14"/>
      <c r="L57" s="14">
        <f t="shared" si="12"/>
        <v>0.453783270956042</v>
      </c>
      <c r="O57">
        <f t="shared" si="13"/>
        <v>1.2036951646392229</v>
      </c>
      <c r="P57" s="24"/>
    </row>
    <row r="58" spans="1:15" ht="12.75">
      <c r="A58" s="2">
        <f t="shared" si="9"/>
        <v>2028</v>
      </c>
      <c r="B58" s="24"/>
      <c r="C58" s="58">
        <f t="shared" si="10"/>
        <v>1.0866798669276465</v>
      </c>
      <c r="D58" s="53" t="s">
        <v>106</v>
      </c>
      <c r="J58" s="14">
        <f t="shared" si="11"/>
        <v>0.5529233665719895</v>
      </c>
      <c r="K58" s="14"/>
      <c r="L58" s="14">
        <f t="shared" si="12"/>
        <v>0.4470766334280105</v>
      </c>
      <c r="O58">
        <f t="shared" si="13"/>
        <v>1.2367529976514027</v>
      </c>
    </row>
    <row r="59" spans="1:15" ht="12.75">
      <c r="A59" s="2">
        <f t="shared" si="9"/>
        <v>2029</v>
      </c>
      <c r="B59" s="24"/>
      <c r="C59" s="58">
        <f t="shared" si="10"/>
        <v>1.0907694751690626</v>
      </c>
      <c r="D59" s="53"/>
      <c r="J59" s="14">
        <f t="shared" si="11"/>
        <v>0.5596107999607502</v>
      </c>
      <c r="K59" s="14"/>
      <c r="L59" s="14">
        <f t="shared" si="12"/>
        <v>0.44038920003924975</v>
      </c>
      <c r="O59">
        <f t="shared" si="13"/>
        <v>1.2707187186036233</v>
      </c>
    </row>
    <row r="60" spans="1:15" ht="12.75">
      <c r="A60" s="2">
        <f t="shared" si="9"/>
        <v>2030</v>
      </c>
      <c r="B60" s="24"/>
      <c r="C60" s="58">
        <f t="shared" si="10"/>
        <v>1.0948458956623575</v>
      </c>
      <c r="D60" s="53" t="s">
        <v>149</v>
      </c>
      <c r="J60" s="14">
        <f t="shared" si="11"/>
        <v>0.5662766684019894</v>
      </c>
      <c r="K60" s="14"/>
      <c r="L60" s="14">
        <f t="shared" si="12"/>
        <v>0.4337233315980106</v>
      </c>
      <c r="O60">
        <f t="shared" si="13"/>
        <v>1.3056172613901107</v>
      </c>
    </row>
    <row r="61" spans="1:15" ht="12.75">
      <c r="A61" s="4"/>
      <c r="C61" s="14"/>
      <c r="E61" s="11"/>
      <c r="F61" s="11"/>
      <c r="G61" s="11"/>
      <c r="J61" s="24"/>
      <c r="O61" s="8"/>
    </row>
    <row r="62" spans="2:15" ht="12.75">
      <c r="B62" s="27"/>
      <c r="C62" s="14"/>
      <c r="E62" s="11"/>
      <c r="F62" s="11"/>
      <c r="G62" s="11"/>
      <c r="J62" s="24"/>
      <c r="O62" s="8"/>
    </row>
    <row r="63" spans="2:10" ht="12.75">
      <c r="B63" s="51"/>
      <c r="C63" s="14"/>
      <c r="E63" s="11"/>
      <c r="F63" s="11"/>
      <c r="G63" s="11"/>
      <c r="J63" s="24"/>
    </row>
    <row r="64" spans="2:10" ht="12.75">
      <c r="B64" s="51"/>
      <c r="C64" s="14"/>
      <c r="E64" s="11"/>
      <c r="F64" s="11"/>
      <c r="G64" s="11"/>
      <c r="J64" s="24"/>
    </row>
    <row r="65" spans="1:10" ht="12.75">
      <c r="A65" s="4"/>
      <c r="B65" s="27"/>
      <c r="C65" s="14"/>
      <c r="E65" s="11"/>
      <c r="F65" s="11"/>
      <c r="G65" s="11"/>
      <c r="J65" s="24"/>
    </row>
    <row r="66" spans="2:10" ht="12.75">
      <c r="B66" s="51"/>
      <c r="C66" s="14"/>
      <c r="E66" s="11"/>
      <c r="F66" s="11"/>
      <c r="G66" s="11"/>
      <c r="J66" s="24"/>
    </row>
    <row r="67" spans="2:10" ht="12.75">
      <c r="B67" s="51"/>
      <c r="C67" s="14"/>
      <c r="E67" s="11"/>
      <c r="F67" s="11"/>
      <c r="G67" s="11"/>
      <c r="J67" s="24"/>
    </row>
    <row r="68" spans="2:10" ht="12.75">
      <c r="B68" s="51"/>
      <c r="C68" s="14"/>
      <c r="E68" s="11"/>
      <c r="F68" s="11"/>
      <c r="G68" s="11"/>
      <c r="J68" s="24"/>
    </row>
    <row r="69" spans="2:10" ht="12.75">
      <c r="B69" s="51"/>
      <c r="C69" s="14"/>
      <c r="E69" s="11"/>
      <c r="F69" s="11"/>
      <c r="G69" s="11"/>
      <c r="J69" s="24"/>
    </row>
    <row r="70" spans="2:10" ht="12.75">
      <c r="B70" s="51"/>
      <c r="C70" s="14"/>
      <c r="E70" s="11"/>
      <c r="F70" s="11"/>
      <c r="G70" s="11"/>
      <c r="J70" s="24"/>
    </row>
    <row r="71" spans="2:10" ht="12.75">
      <c r="B71" s="51"/>
      <c r="C71" s="14"/>
      <c r="E71" s="11"/>
      <c r="F71" s="11"/>
      <c r="G71" s="11"/>
      <c r="J71" s="24"/>
    </row>
    <row r="72" spans="2:10" ht="12.75">
      <c r="B72" s="51"/>
      <c r="C72" s="14"/>
      <c r="E72" s="11"/>
      <c r="F72" s="11"/>
      <c r="G72" s="11"/>
      <c r="J72" s="24"/>
    </row>
    <row r="73" spans="2:10" ht="12.75">
      <c r="B73" s="51"/>
      <c r="C73" s="14"/>
      <c r="E73" s="11"/>
      <c r="F73" s="11"/>
      <c r="G73" s="11"/>
      <c r="J73" s="24"/>
    </row>
    <row r="74" spans="2:10" ht="12.75">
      <c r="B74" s="51"/>
      <c r="C74" s="14"/>
      <c r="E74" s="11"/>
      <c r="F74" s="27"/>
      <c r="G74" s="11"/>
      <c r="J74" s="24"/>
    </row>
    <row r="75" spans="1:10" ht="12.75">
      <c r="A75" s="28"/>
      <c r="C75" s="14"/>
      <c r="D75" s="4"/>
      <c r="E75" s="11"/>
      <c r="G75" s="11"/>
      <c r="J75" s="24"/>
    </row>
    <row r="76" spans="1:10" ht="12.75">
      <c r="A76" s="28"/>
      <c r="B76" s="27"/>
      <c r="E76" s="11"/>
      <c r="G76" s="11"/>
      <c r="J76" s="24"/>
    </row>
    <row r="78" ht="12.75">
      <c r="A78" s="4"/>
    </row>
    <row r="79" ht="12.75">
      <c r="A79" s="4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4"/>
    </row>
    <row r="94" ht="12.75">
      <c r="A94" s="23"/>
    </row>
    <row r="95" spans="1:18" ht="12.75">
      <c r="A95" s="16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ht="12.75">
      <c r="A96" s="16"/>
    </row>
    <row r="97" spans="1:12" ht="12.75">
      <c r="A97" s="110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ht="12.75">
      <c r="A98" s="25"/>
    </row>
    <row r="99" ht="12.75">
      <c r="A99" s="25"/>
    </row>
    <row r="100" ht="12.75">
      <c r="A100" s="23"/>
    </row>
    <row r="102" ht="12.75">
      <c r="A102" s="16"/>
    </row>
    <row r="105" ht="12.75">
      <c r="A105" s="16"/>
    </row>
    <row r="106" ht="12.75">
      <c r="A106" s="16"/>
    </row>
    <row r="107" ht="12.75">
      <c r="A107" s="16"/>
    </row>
    <row r="108" spans="1:2" ht="12.75">
      <c r="A108" s="16"/>
      <c r="B108" s="26"/>
    </row>
    <row r="109" ht="12.75">
      <c r="A109" s="16"/>
    </row>
    <row r="110" ht="12.75">
      <c r="A110" s="16"/>
    </row>
  </sheetData>
  <sheetProtection/>
  <mergeCells count="4">
    <mergeCell ref="F33:H33"/>
    <mergeCell ref="G95:R95"/>
    <mergeCell ref="A97:L97"/>
    <mergeCell ref="B33:C3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00390625" style="0" customWidth="1"/>
    <col min="4" max="4" width="11.7109375" style="0" customWidth="1"/>
    <col min="5" max="5" width="5.421875" style="0" customWidth="1"/>
    <col min="7" max="7" width="12.140625" style="0" customWidth="1"/>
    <col min="8" max="8" width="11.140625" style="0" customWidth="1"/>
    <col min="9" max="9" width="9.7109375" style="0" customWidth="1"/>
    <col min="11" max="11" width="6.140625" style="0" customWidth="1"/>
    <col min="13" max="13" width="12.00390625" style="0" customWidth="1"/>
    <col min="14" max="14" width="12.140625" style="0" customWidth="1"/>
    <col min="15" max="15" width="9.7109375" style="0" customWidth="1"/>
    <col min="17" max="17" width="6.140625" style="0" customWidth="1"/>
    <col min="18" max="19" width="0" style="0" hidden="1" customWidth="1"/>
    <col min="20" max="20" width="13.8515625" style="0" hidden="1" customWidth="1"/>
    <col min="21" max="21" width="9.8515625" style="0" customWidth="1"/>
  </cols>
  <sheetData>
    <row r="1" spans="6:22" ht="18">
      <c r="F1" s="113" t="s">
        <v>65</v>
      </c>
      <c r="G1" s="114"/>
      <c r="H1" s="114"/>
      <c r="I1" s="114"/>
      <c r="J1" s="114"/>
      <c r="L1" s="113" t="s">
        <v>66</v>
      </c>
      <c r="M1" s="113"/>
      <c r="N1" s="113"/>
      <c r="O1" s="113"/>
      <c r="P1" s="113"/>
      <c r="R1" s="113" t="s">
        <v>106</v>
      </c>
      <c r="S1" s="114"/>
      <c r="T1" s="114"/>
      <c r="U1" s="114"/>
      <c r="V1" s="114"/>
    </row>
    <row r="2" spans="1:22" ht="127.5">
      <c r="A2" s="86"/>
      <c r="B2" s="31"/>
      <c r="C2" s="86"/>
      <c r="D2" s="86" t="s">
        <v>69</v>
      </c>
      <c r="E2" s="86"/>
      <c r="F2" s="86" t="s">
        <v>70</v>
      </c>
      <c r="G2" s="86" t="s">
        <v>63</v>
      </c>
      <c r="H2" s="92" t="s">
        <v>64</v>
      </c>
      <c r="I2" s="86" t="s">
        <v>152</v>
      </c>
      <c r="J2" s="86" t="s">
        <v>52</v>
      </c>
      <c r="K2" s="53"/>
      <c r="L2" s="86" t="s">
        <v>72</v>
      </c>
      <c r="M2" s="86" t="s">
        <v>63</v>
      </c>
      <c r="N2" s="92" t="s">
        <v>64</v>
      </c>
      <c r="O2" s="86" t="s">
        <v>153</v>
      </c>
      <c r="P2" s="86" t="s">
        <v>53</v>
      </c>
      <c r="Q2" s="53"/>
      <c r="R2" s="86" t="s">
        <v>74</v>
      </c>
      <c r="S2" s="86" t="s">
        <v>63</v>
      </c>
      <c r="T2" s="92" t="s">
        <v>64</v>
      </c>
      <c r="U2" s="86" t="s">
        <v>154</v>
      </c>
      <c r="V2" s="86" t="s">
        <v>125</v>
      </c>
    </row>
    <row r="3" spans="1:22" ht="12.75" customHeight="1">
      <c r="A3" s="103" t="s">
        <v>54</v>
      </c>
      <c r="B3" s="53" t="s">
        <v>115</v>
      </c>
      <c r="C3" s="32"/>
      <c r="D3" s="32">
        <f>+'Baseline FT student numbers'!H10</f>
        <v>233037.66055188753</v>
      </c>
      <c r="E3" s="32"/>
      <c r="F3" s="33">
        <f>+'Population extract'!E8/'Population extract'!D8-1</f>
        <v>0.013056547059928647</v>
      </c>
      <c r="G3" s="33">
        <v>0</v>
      </c>
      <c r="H3" s="33">
        <f>(1+F3)*(1+G3)-1</f>
        <v>0.013056547059928647</v>
      </c>
      <c r="I3" s="34">
        <f aca="true" t="shared" si="0" ref="I3:I18">+$D3*H3</f>
        <v>3042.6671817313972</v>
      </c>
      <c r="J3" s="34">
        <f aca="true" t="shared" si="1" ref="J3:J18">+I3+$D3</f>
        <v>236080.32773361893</v>
      </c>
      <c r="K3" s="53"/>
      <c r="L3" s="93">
        <f>+'Population extract'!F8/'Population extract'!D8-1</f>
        <v>-0.1290625587074956</v>
      </c>
      <c r="M3" s="93">
        <v>0</v>
      </c>
      <c r="N3" s="33">
        <f>(1+L3)*(1+M3)-1</f>
        <v>-0.1290625587074956</v>
      </c>
      <c r="O3" s="34">
        <f>+$D3*N3</f>
        <v>-30076.43674603542</v>
      </c>
      <c r="P3" s="34">
        <f>+O3+$D3</f>
        <v>202961.22380585212</v>
      </c>
      <c r="Q3" s="53"/>
      <c r="R3" s="33">
        <f>+'Population extract'!G8/'Population extract'!D8-1</f>
        <v>0.019631786586511435</v>
      </c>
      <c r="S3" s="50">
        <v>0</v>
      </c>
      <c r="T3" s="33">
        <f>(1+R3)*(1+S3)-1</f>
        <v>0.019631786586511435</v>
      </c>
      <c r="U3" s="34">
        <f>+$D3*T3</f>
        <v>4574.94561857455</v>
      </c>
      <c r="V3" s="34">
        <f>+U3+$D3</f>
        <v>237612.60617046207</v>
      </c>
    </row>
    <row r="4" spans="1:24" ht="12.75" customHeight="1">
      <c r="A4" s="103"/>
      <c r="B4" s="53" t="s">
        <v>116</v>
      </c>
      <c r="C4" s="32"/>
      <c r="D4" s="32">
        <f>+'Baseline FT student numbers'!H11</f>
        <v>101978.30362780864</v>
      </c>
      <c r="E4" s="32"/>
      <c r="F4" s="33">
        <f>+'Population extract'!E9/'Population extract'!D9-1</f>
        <v>0.059561348188634566</v>
      </c>
      <c r="G4" s="33">
        <f>+G3</f>
        <v>0</v>
      </c>
      <c r="H4" s="33">
        <f aca="true" t="shared" si="2" ref="H4:H18">(1+F4)*(1+G4)-1</f>
        <v>0.059561348188634566</v>
      </c>
      <c r="I4" s="34">
        <f t="shared" si="0"/>
        <v>6073.965250062206</v>
      </c>
      <c r="J4" s="34">
        <f t="shared" si="1"/>
        <v>108052.26887787084</v>
      </c>
      <c r="K4" s="53"/>
      <c r="L4" s="93">
        <f>+'Population extract'!F9/'Population extract'!D9-1</f>
        <v>-0.008829093966785773</v>
      </c>
      <c r="M4" s="93">
        <v>0</v>
      </c>
      <c r="N4" s="33">
        <f aca="true" t="shared" si="3" ref="N4:N18">(1+L4)*(1+M4)-1</f>
        <v>-0.008829093966785773</v>
      </c>
      <c r="O4" s="34">
        <f aca="true" t="shared" si="4" ref="O4:O18">+$D4*N4</f>
        <v>-900.3760253033329</v>
      </c>
      <c r="P4" s="34">
        <f aca="true" t="shared" si="5" ref="P4:P18">+O4+$D4</f>
        <v>101077.9276025053</v>
      </c>
      <c r="Q4" s="53"/>
      <c r="R4" s="33">
        <f>+'Population extract'!G9/'Population extract'!D9-1</f>
        <v>0.024385116670170515</v>
      </c>
      <c r="S4" s="50">
        <v>0</v>
      </c>
      <c r="T4" s="33">
        <f aca="true" t="shared" si="6" ref="T4:T18">(1+R4)*(1+S4)-1</f>
        <v>0.024385116670170515</v>
      </c>
      <c r="U4" s="34">
        <f aca="true" t="shared" si="7" ref="U4:U18">+$D4*T4</f>
        <v>2486.7528317901865</v>
      </c>
      <c r="V4" s="34">
        <f aca="true" t="shared" si="8" ref="V4:V18">+U4+$D4</f>
        <v>104465.05645959883</v>
      </c>
      <c r="W4" s="1"/>
      <c r="X4" s="1"/>
    </row>
    <row r="5" spans="1:25" ht="12.75" customHeight="1">
      <c r="A5" s="103"/>
      <c r="B5" s="53" t="s">
        <v>117</v>
      </c>
      <c r="C5" s="32"/>
      <c r="D5" s="32">
        <f>+'Baseline FT student numbers'!H12</f>
        <v>18595.926028004964</v>
      </c>
      <c r="E5" s="32"/>
      <c r="F5" s="33">
        <f>+'Population extract'!E10/'Population extract'!D10-1</f>
        <v>0.0998002819548871</v>
      </c>
      <c r="G5" s="33">
        <v>0</v>
      </c>
      <c r="H5" s="33">
        <f t="shared" si="2"/>
        <v>0.0998002819548871</v>
      </c>
      <c r="I5" s="34">
        <f t="shared" si="0"/>
        <v>1855.8786608071193</v>
      </c>
      <c r="J5" s="34">
        <f t="shared" si="1"/>
        <v>20451.804688812084</v>
      </c>
      <c r="K5" s="53"/>
      <c r="L5" s="93">
        <f>+'Population extract'!F10/'Population extract'!D10-1</f>
        <v>0.18056860902255645</v>
      </c>
      <c r="M5" s="93">
        <v>0</v>
      </c>
      <c r="N5" s="33">
        <f t="shared" si="3"/>
        <v>0.18056860902255645</v>
      </c>
      <c r="O5" s="34">
        <f t="shared" si="4"/>
        <v>3357.8404963632092</v>
      </c>
      <c r="P5" s="34">
        <f t="shared" si="5"/>
        <v>21953.766524368173</v>
      </c>
      <c r="Q5" s="53"/>
      <c r="R5" s="33">
        <f>+'Population extract'!G10/'Population extract'!D10-1</f>
        <v>0.08176691729323315</v>
      </c>
      <c r="S5" s="50">
        <v>0</v>
      </c>
      <c r="T5" s="33">
        <f t="shared" si="6"/>
        <v>0.08176691729323315</v>
      </c>
      <c r="U5" s="34">
        <f t="shared" si="7"/>
        <v>1520.5315455229636</v>
      </c>
      <c r="V5" s="34">
        <f t="shared" si="8"/>
        <v>20116.45757352793</v>
      </c>
      <c r="Y5" s="16" t="s">
        <v>60</v>
      </c>
    </row>
    <row r="6" spans="1:22" ht="12.75" customHeight="1">
      <c r="A6" s="103"/>
      <c r="B6" s="53" t="s">
        <v>118</v>
      </c>
      <c r="C6" s="32"/>
      <c r="D6" s="32">
        <f>+'Baseline FT student numbers'!H13</f>
        <v>8434.809916419292</v>
      </c>
      <c r="E6" s="32"/>
      <c r="F6" s="33">
        <f>+'Population extract'!E11/'Population extract'!D11-1</f>
        <v>0.006639304683727865</v>
      </c>
      <c r="G6" s="33">
        <v>0</v>
      </c>
      <c r="H6" s="33">
        <f t="shared" si="2"/>
        <v>0.006639304683727865</v>
      </c>
      <c r="I6" s="34">
        <f t="shared" si="0"/>
        <v>56.001272984436845</v>
      </c>
      <c r="J6" s="34">
        <f t="shared" si="1"/>
        <v>8490.811189403728</v>
      </c>
      <c r="K6" s="53"/>
      <c r="L6" s="93">
        <f>+'Population extract'!F11/'Population extract'!D11-1</f>
        <v>0.26635683244809294</v>
      </c>
      <c r="M6" s="93">
        <v>0</v>
      </c>
      <c r="N6" s="33">
        <f t="shared" si="3"/>
        <v>0.26635683244809294</v>
      </c>
      <c r="O6" s="34">
        <f t="shared" si="4"/>
        <v>2246.6692516392063</v>
      </c>
      <c r="P6" s="34">
        <f t="shared" si="5"/>
        <v>10681.479168058499</v>
      </c>
      <c r="Q6" s="53"/>
      <c r="R6" s="33">
        <f>+'Population extract'!G11/'Population extract'!D11-1</f>
        <v>0.20376629647513278</v>
      </c>
      <c r="S6" s="50">
        <v>0</v>
      </c>
      <c r="T6" s="33">
        <f t="shared" si="6"/>
        <v>0.20376629647513278</v>
      </c>
      <c r="U6" s="34">
        <f t="shared" si="7"/>
        <v>1718.7299781404834</v>
      </c>
      <c r="V6" s="34">
        <f t="shared" si="8"/>
        <v>10153.539894559775</v>
      </c>
    </row>
    <row r="7" spans="1:22" ht="12.75" customHeight="1">
      <c r="A7" s="103"/>
      <c r="B7" s="53" t="s">
        <v>119</v>
      </c>
      <c r="C7" s="32"/>
      <c r="D7" s="32">
        <f>+'Baseline FT student numbers'!H14</f>
        <v>5673.351194718039</v>
      </c>
      <c r="E7" s="32"/>
      <c r="F7" s="33">
        <f>+'Population extract'!E12/'Population extract'!D12-1</f>
        <v>-0.0639240506329114</v>
      </c>
      <c r="G7" s="33">
        <v>0</v>
      </c>
      <c r="H7" s="33">
        <f t="shared" si="2"/>
        <v>-0.0639240506329114</v>
      </c>
      <c r="I7" s="34">
        <f t="shared" si="0"/>
        <v>-362.66358902944427</v>
      </c>
      <c r="J7" s="34">
        <f t="shared" si="1"/>
        <v>5310.687605688594</v>
      </c>
      <c r="K7" s="53"/>
      <c r="L7" s="93">
        <f>+'Population extract'!F12/'Population extract'!D12-1</f>
        <v>0.021677215189873422</v>
      </c>
      <c r="M7" s="93">
        <v>0</v>
      </c>
      <c r="N7" s="33">
        <f t="shared" si="3"/>
        <v>0.021677215189873422</v>
      </c>
      <c r="O7" s="34">
        <f t="shared" si="4"/>
        <v>122.98245469562839</v>
      </c>
      <c r="P7" s="34">
        <f t="shared" si="5"/>
        <v>5796.333649413667</v>
      </c>
      <c r="Q7" s="53"/>
      <c r="R7" s="33">
        <f>+'Population extract'!G12/'Population extract'!D12-1</f>
        <v>0.11582278481012653</v>
      </c>
      <c r="S7" s="50">
        <v>0</v>
      </c>
      <c r="T7" s="33">
        <f t="shared" si="6"/>
        <v>0.11582278481012653</v>
      </c>
      <c r="U7" s="34">
        <f t="shared" si="7"/>
        <v>657.1033345781017</v>
      </c>
      <c r="V7" s="34">
        <f t="shared" si="8"/>
        <v>6330.45452929614</v>
      </c>
    </row>
    <row r="8" spans="1:22" ht="12.75" customHeight="1">
      <c r="A8" s="103"/>
      <c r="B8" s="53" t="s">
        <v>120</v>
      </c>
      <c r="C8" s="32"/>
      <c r="D8" s="32">
        <f>+'Baseline FT student numbers'!H15</f>
        <v>5748.04207823834</v>
      </c>
      <c r="E8" s="32"/>
      <c r="F8" s="33">
        <f>+'Population extract'!E13/'Population extract'!D13-1</f>
        <v>0.028153545310867667</v>
      </c>
      <c r="G8" s="33">
        <v>0</v>
      </c>
      <c r="H8" s="33">
        <f t="shared" si="2"/>
        <v>0.028153545310867667</v>
      </c>
      <c r="I8" s="34">
        <f t="shared" si="0"/>
        <v>161.82776309845704</v>
      </c>
      <c r="J8" s="34">
        <f t="shared" si="1"/>
        <v>5909.8698413367965</v>
      </c>
      <c r="K8" s="53"/>
      <c r="L8" s="93">
        <f>+'Population extract'!F13/'Population extract'!D13-1</f>
        <v>-0.08044252765797866</v>
      </c>
      <c r="M8" s="93">
        <v>0</v>
      </c>
      <c r="N8" s="33">
        <f t="shared" si="3"/>
        <v>-0.08044252765797866</v>
      </c>
      <c r="O8" s="34">
        <f t="shared" si="4"/>
        <v>-462.3870338579128</v>
      </c>
      <c r="P8" s="34">
        <f t="shared" si="5"/>
        <v>5285.655044380427</v>
      </c>
      <c r="Q8" s="53"/>
      <c r="R8" s="33">
        <f>+'Population extract'!G13/'Population extract'!D13-1</f>
        <v>0.039270311537328295</v>
      </c>
      <c r="S8" s="50">
        <v>0</v>
      </c>
      <c r="T8" s="33">
        <f t="shared" si="6"/>
        <v>0.039270311537328295</v>
      </c>
      <c r="U8" s="34">
        <f t="shared" si="7"/>
        <v>225.7274031420916</v>
      </c>
      <c r="V8" s="34">
        <f t="shared" si="8"/>
        <v>5973.769481380432</v>
      </c>
    </row>
    <row r="9" spans="1:22" ht="12.75" customHeight="1">
      <c r="A9" s="103"/>
      <c r="B9" s="53" t="s">
        <v>121</v>
      </c>
      <c r="C9" s="32"/>
      <c r="D9" s="32">
        <f>+'Baseline FT student numbers'!H16</f>
        <v>1255.0172399960356</v>
      </c>
      <c r="E9" s="32"/>
      <c r="F9" s="33">
        <f>+'Population extract'!E14/'Population extract'!D14-1</f>
        <v>0.01314116150911393</v>
      </c>
      <c r="G9" s="33">
        <v>0</v>
      </c>
      <c r="H9" s="33">
        <f t="shared" si="2"/>
        <v>0.01314116150911393</v>
      </c>
      <c r="I9" s="34">
        <f t="shared" si="0"/>
        <v>16.4923842475103</v>
      </c>
      <c r="J9" s="34">
        <f t="shared" si="1"/>
        <v>1271.5096242435459</v>
      </c>
      <c r="K9" s="53"/>
      <c r="L9" s="93">
        <f>+'Population extract'!F14/'Population extract'!D14-1</f>
        <v>0.20266084064303658</v>
      </c>
      <c r="M9" s="93">
        <v>0</v>
      </c>
      <c r="N9" s="33">
        <f t="shared" si="3"/>
        <v>0.20266084064303658</v>
      </c>
      <c r="O9" s="34">
        <f t="shared" si="4"/>
        <v>254.34284887910016</v>
      </c>
      <c r="P9" s="34">
        <f t="shared" si="5"/>
        <v>1509.3600888751357</v>
      </c>
      <c r="Q9" s="53"/>
      <c r="R9" s="33">
        <f>+'Population extract'!G14/'Population extract'!D14-1</f>
        <v>0.0934555059184139</v>
      </c>
      <c r="S9" s="50">
        <v>0</v>
      </c>
      <c r="T9" s="33">
        <f t="shared" si="6"/>
        <v>0.0934555059184139</v>
      </c>
      <c r="U9" s="34">
        <f t="shared" si="7"/>
        <v>117.28827110016098</v>
      </c>
      <c r="V9" s="34">
        <f t="shared" si="8"/>
        <v>1372.3055110961966</v>
      </c>
    </row>
    <row r="10" spans="1:22" ht="12.75" customHeight="1">
      <c r="A10" s="103"/>
      <c r="B10" s="53" t="s">
        <v>122</v>
      </c>
      <c r="C10" s="32"/>
      <c r="D10" s="32">
        <f>+'Baseline FT student numbers'!H17</f>
        <v>319.8032195798783</v>
      </c>
      <c r="E10" s="32"/>
      <c r="F10" s="33">
        <f>+'Population extract'!E15/'Population extract'!D15-1</f>
        <v>0.06913070493676199</v>
      </c>
      <c r="G10" s="33">
        <v>0</v>
      </c>
      <c r="H10" s="33">
        <f t="shared" si="2"/>
        <v>0.06913070493676199</v>
      </c>
      <c r="I10" s="34">
        <f t="shared" si="0"/>
        <v>22.108222010603072</v>
      </c>
      <c r="J10" s="34">
        <f t="shared" si="1"/>
        <v>341.9114415904814</v>
      </c>
      <c r="K10" s="53"/>
      <c r="L10" s="93">
        <f>+'Population extract'!F15/'Population extract'!D15-1</f>
        <v>0.2781664027580124</v>
      </c>
      <c r="M10" s="93">
        <v>0</v>
      </c>
      <c r="N10" s="33">
        <f t="shared" si="3"/>
        <v>0.2781664027580124</v>
      </c>
      <c r="O10" s="34">
        <f t="shared" si="4"/>
        <v>88.95851118096552</v>
      </c>
      <c r="P10" s="34">
        <f t="shared" si="5"/>
        <v>408.7617307608438</v>
      </c>
      <c r="Q10" s="53"/>
      <c r="R10" s="33">
        <f>+'Population extract'!G15/'Population extract'!D15-1</f>
        <v>0.5036178869936463</v>
      </c>
      <c r="S10" s="50">
        <v>0</v>
      </c>
      <c r="T10" s="33">
        <f t="shared" si="6"/>
        <v>0.5036178869936463</v>
      </c>
      <c r="U10" s="34">
        <f t="shared" si="7"/>
        <v>161.0586216985834</v>
      </c>
      <c r="V10" s="34">
        <f t="shared" si="8"/>
        <v>480.8618412784617</v>
      </c>
    </row>
    <row r="11" spans="1:22" ht="12.75" customHeight="1">
      <c r="A11" s="103" t="s">
        <v>55</v>
      </c>
      <c r="B11" s="53" t="s">
        <v>115</v>
      </c>
      <c r="C11" s="32"/>
      <c r="D11" s="32">
        <f>+'Baseline FT student numbers'!H18</f>
        <v>286479.51370280003</v>
      </c>
      <c r="E11" s="32"/>
      <c r="F11" s="33">
        <f>+'Population extract'!E16/'Population extract'!D16-1</f>
        <v>0.011249497790277285</v>
      </c>
      <c r="G11" s="33">
        <v>0</v>
      </c>
      <c r="H11" s="33">
        <f t="shared" si="2"/>
        <v>0.011249497790277285</v>
      </c>
      <c r="I11" s="34">
        <f t="shared" si="0"/>
        <v>3222.75065635936</v>
      </c>
      <c r="J11" s="34">
        <f t="shared" si="1"/>
        <v>289702.2643591594</v>
      </c>
      <c r="K11" s="53"/>
      <c r="L11" s="93">
        <f>+'Population extract'!F16/'Population extract'!D16-1</f>
        <v>-0.1324829248694256</v>
      </c>
      <c r="M11" s="93">
        <v>0</v>
      </c>
      <c r="N11" s="33">
        <f t="shared" si="3"/>
        <v>-0.1324829248694256</v>
      </c>
      <c r="O11" s="34">
        <f t="shared" si="4"/>
        <v>-37953.64389051763</v>
      </c>
      <c r="P11" s="34">
        <f t="shared" si="5"/>
        <v>248525.86981228238</v>
      </c>
      <c r="Q11" s="53"/>
      <c r="R11" s="33">
        <f>+'Population extract'!G16/'Population extract'!D16-1</f>
        <v>0.023202089192446707</v>
      </c>
      <c r="S11" s="50">
        <v>0</v>
      </c>
      <c r="T11" s="33">
        <f t="shared" si="6"/>
        <v>0.023202089192446707</v>
      </c>
      <c r="U11" s="34">
        <f t="shared" si="7"/>
        <v>6646.923228741125</v>
      </c>
      <c r="V11" s="34">
        <f t="shared" si="8"/>
        <v>293126.43693154113</v>
      </c>
    </row>
    <row r="12" spans="1:22" ht="12.75" customHeight="1">
      <c r="A12" s="103"/>
      <c r="B12" s="53" t="s">
        <v>116</v>
      </c>
      <c r="C12" s="32"/>
      <c r="D12" s="32">
        <f>+'Baseline FT student numbers'!H19</f>
        <v>110304.75916390975</v>
      </c>
      <c r="E12" s="32"/>
      <c r="F12" s="33">
        <f>+'Population extract'!E17/'Population extract'!D17-1</f>
        <v>0.049389002036659635</v>
      </c>
      <c r="G12" s="33">
        <v>0</v>
      </c>
      <c r="H12" s="33">
        <f t="shared" si="2"/>
        <v>0.049389002036659635</v>
      </c>
      <c r="I12" s="34">
        <f t="shared" si="0"/>
        <v>5447.841974999589</v>
      </c>
      <c r="J12" s="34">
        <f t="shared" si="1"/>
        <v>115752.60113890935</v>
      </c>
      <c r="K12" s="53"/>
      <c r="L12" s="93">
        <f>+'Population extract'!F17/'Population extract'!D17-1</f>
        <v>-0.02582193773639818</v>
      </c>
      <c r="M12" s="93">
        <v>0</v>
      </c>
      <c r="N12" s="33">
        <f t="shared" si="3"/>
        <v>-0.02582193773639818</v>
      </c>
      <c r="O12" s="34">
        <f t="shared" si="4"/>
        <v>-2848.2826231588742</v>
      </c>
      <c r="P12" s="34">
        <f t="shared" si="5"/>
        <v>107456.47654075088</v>
      </c>
      <c r="Q12" s="53"/>
      <c r="R12" s="33">
        <f>+'Population extract'!G17/'Population extract'!D17-1</f>
        <v>0.00945592086121616</v>
      </c>
      <c r="S12" s="50">
        <v>0</v>
      </c>
      <c r="T12" s="33">
        <f t="shared" si="6"/>
        <v>0.00945592086121616</v>
      </c>
      <c r="U12" s="34">
        <f t="shared" si="7"/>
        <v>1043.0330732694388</v>
      </c>
      <c r="V12" s="34">
        <f t="shared" si="8"/>
        <v>111347.7922371792</v>
      </c>
    </row>
    <row r="13" spans="1:22" ht="12.75" customHeight="1">
      <c r="A13" s="103"/>
      <c r="B13" s="53" t="s">
        <v>117</v>
      </c>
      <c r="C13" s="32"/>
      <c r="D13" s="32">
        <f>+'Baseline FT student numbers'!H20</f>
        <v>28774.925872264514</v>
      </c>
      <c r="E13" s="32"/>
      <c r="F13" s="33">
        <f>+'Population extract'!E18/'Population extract'!D18-1</f>
        <v>0.07898149239655794</v>
      </c>
      <c r="G13" s="33">
        <v>0</v>
      </c>
      <c r="H13" s="33">
        <f t="shared" si="2"/>
        <v>0.07898149239655794</v>
      </c>
      <c r="I13" s="34">
        <f t="shared" si="0"/>
        <v>2272.686588991778</v>
      </c>
      <c r="J13" s="34">
        <f t="shared" si="1"/>
        <v>31047.612461256293</v>
      </c>
      <c r="K13" s="53"/>
      <c r="L13" s="93">
        <f>+'Population extract'!F18/'Population extract'!D18-1</f>
        <v>0.13226452905811636</v>
      </c>
      <c r="M13" s="93">
        <v>0</v>
      </c>
      <c r="N13" s="33">
        <f t="shared" si="3"/>
        <v>0.13226452905811636</v>
      </c>
      <c r="O13" s="34">
        <f t="shared" si="4"/>
        <v>3805.9020191772743</v>
      </c>
      <c r="P13" s="34">
        <f t="shared" si="5"/>
        <v>32580.82789144179</v>
      </c>
      <c r="Q13" s="53"/>
      <c r="R13" s="33">
        <f>+'Population extract'!G18/'Population extract'!D18-1</f>
        <v>0.03860662501473544</v>
      </c>
      <c r="S13" s="50">
        <v>0</v>
      </c>
      <c r="T13" s="33">
        <f t="shared" si="6"/>
        <v>0.03860662501473544</v>
      </c>
      <c r="U13" s="34">
        <f t="shared" si="7"/>
        <v>1110.9027729773252</v>
      </c>
      <c r="V13" s="34">
        <f t="shared" si="8"/>
        <v>29885.82864524184</v>
      </c>
    </row>
    <row r="14" spans="1:22" ht="12.75" customHeight="1">
      <c r="A14" s="103"/>
      <c r="B14" s="53" t="s">
        <v>118</v>
      </c>
      <c r="C14" s="53"/>
      <c r="D14" s="32">
        <f>+'Baseline FT student numbers'!H21</f>
        <v>17665.971928963478</v>
      </c>
      <c r="E14" s="53"/>
      <c r="F14" s="33">
        <f>+'Population extract'!E19/'Population extract'!D19-1</f>
        <v>0.011874623267028372</v>
      </c>
      <c r="G14" s="33">
        <v>0</v>
      </c>
      <c r="H14" s="33">
        <f t="shared" si="2"/>
        <v>0.011874623267028372</v>
      </c>
      <c r="I14" s="34">
        <f t="shared" si="0"/>
        <v>209.77676130233982</v>
      </c>
      <c r="J14" s="34">
        <f t="shared" si="1"/>
        <v>17875.748690265817</v>
      </c>
      <c r="K14" s="53"/>
      <c r="L14" s="93">
        <f>+'Population extract'!F19/'Population extract'!D19-1</f>
        <v>0.2275467148884871</v>
      </c>
      <c r="M14" s="93">
        <v>0</v>
      </c>
      <c r="N14" s="33">
        <f t="shared" si="3"/>
        <v>0.2275467148884871</v>
      </c>
      <c r="O14" s="34">
        <f t="shared" si="4"/>
        <v>4019.833877747869</v>
      </c>
      <c r="P14" s="34">
        <f t="shared" si="5"/>
        <v>21685.805806711345</v>
      </c>
      <c r="Q14" s="53"/>
      <c r="R14" s="33">
        <f>+'Population extract'!G19/'Population extract'!D19-1</f>
        <v>0.16015672091621447</v>
      </c>
      <c r="S14" s="50">
        <v>0</v>
      </c>
      <c r="T14" s="33">
        <f t="shared" si="6"/>
        <v>0.16015672091621447</v>
      </c>
      <c r="U14" s="34">
        <f t="shared" si="7"/>
        <v>2829.3241359406825</v>
      </c>
      <c r="V14" s="34">
        <f t="shared" si="8"/>
        <v>20495.29606490416</v>
      </c>
    </row>
    <row r="15" spans="1:22" ht="12.75" customHeight="1">
      <c r="A15" s="103"/>
      <c r="B15" s="53" t="s">
        <v>119</v>
      </c>
      <c r="C15" s="53"/>
      <c r="D15" s="32">
        <f>+'Baseline FT student numbers'!H22</f>
        <v>16485.64557248774</v>
      </c>
      <c r="E15" s="53"/>
      <c r="F15" s="33">
        <f>+'Population extract'!E20/'Population extract'!D20-1</f>
        <v>-0.06604757929883154</v>
      </c>
      <c r="G15" s="33">
        <v>0</v>
      </c>
      <c r="H15" s="33">
        <f t="shared" si="2"/>
        <v>-0.06604757929883154</v>
      </c>
      <c r="I15" s="34">
        <f t="shared" si="0"/>
        <v>-1088.8369832413152</v>
      </c>
      <c r="J15" s="34">
        <f t="shared" si="1"/>
        <v>15396.808589246426</v>
      </c>
      <c r="K15" s="53"/>
      <c r="L15" s="93">
        <f>+'Population extract'!F20/'Population extract'!D20-1</f>
        <v>-0.0011477462437397001</v>
      </c>
      <c r="M15" s="93">
        <v>0</v>
      </c>
      <c r="N15" s="33">
        <f t="shared" si="3"/>
        <v>-0.0011477462437397001</v>
      </c>
      <c r="O15" s="34">
        <f t="shared" si="4"/>
        <v>-18.921337781446823</v>
      </c>
      <c r="P15" s="34">
        <f t="shared" si="5"/>
        <v>16466.724234706293</v>
      </c>
      <c r="Q15" s="53"/>
      <c r="R15" s="33">
        <f>+'Population extract'!G20/'Population extract'!D20-1</f>
        <v>0.06818656093489128</v>
      </c>
      <c r="S15" s="50">
        <v>0</v>
      </c>
      <c r="T15" s="33">
        <f t="shared" si="6"/>
        <v>0.06818656093489128</v>
      </c>
      <c r="U15" s="34">
        <f t="shared" si="7"/>
        <v>1124.099476379456</v>
      </c>
      <c r="V15" s="34">
        <f t="shared" si="8"/>
        <v>17609.745048867197</v>
      </c>
    </row>
    <row r="16" spans="1:22" ht="12.75" customHeight="1">
      <c r="A16" s="103"/>
      <c r="B16" s="53" t="s">
        <v>120</v>
      </c>
      <c r="C16" s="53"/>
      <c r="D16" s="32">
        <f>+'Baseline FT student numbers'!H23</f>
        <v>19119.814196922</v>
      </c>
      <c r="E16" s="53"/>
      <c r="F16" s="33">
        <f>+'Population extract'!E21/'Population extract'!D21-1</f>
        <v>0.028027498677948293</v>
      </c>
      <c r="G16" s="33">
        <v>0</v>
      </c>
      <c r="H16" s="33">
        <f t="shared" si="2"/>
        <v>0.028027498677948293</v>
      </c>
      <c r="I16" s="34">
        <f t="shared" si="0"/>
        <v>535.8805671268484</v>
      </c>
      <c r="J16" s="34">
        <f t="shared" si="1"/>
        <v>19655.69476404885</v>
      </c>
      <c r="K16" s="53"/>
      <c r="L16" s="93">
        <f>+'Population extract'!F21/'Population extract'!D21-1</f>
        <v>-0.08276044420941309</v>
      </c>
      <c r="M16" s="93">
        <v>0</v>
      </c>
      <c r="N16" s="33">
        <f t="shared" si="3"/>
        <v>-0.08276044420941309</v>
      </c>
      <c r="O16" s="34">
        <f t="shared" si="4"/>
        <v>-1582.3643161387076</v>
      </c>
      <c r="P16" s="34">
        <f t="shared" si="5"/>
        <v>17537.449880783293</v>
      </c>
      <c r="Q16" s="53"/>
      <c r="R16" s="33">
        <f>+'Population extract'!G21/'Population extract'!D21-1</f>
        <v>0.015415124272871283</v>
      </c>
      <c r="S16" s="50">
        <v>0</v>
      </c>
      <c r="T16" s="33">
        <f t="shared" si="6"/>
        <v>0.015415124272871283</v>
      </c>
      <c r="U16" s="34">
        <f t="shared" si="7"/>
        <v>294.7343119197613</v>
      </c>
      <c r="V16" s="34">
        <f t="shared" si="8"/>
        <v>19414.548508841763</v>
      </c>
    </row>
    <row r="17" spans="1:22" ht="12.75" customHeight="1">
      <c r="A17" s="103"/>
      <c r="B17" s="53" t="s">
        <v>121</v>
      </c>
      <c r="C17" s="53"/>
      <c r="D17" s="32">
        <f>+'Baseline FT student numbers'!H24</f>
        <v>3161.2127461761</v>
      </c>
      <c r="E17" s="53"/>
      <c r="F17" s="33">
        <f>+'Population extract'!E22/'Population extract'!D22-1</f>
        <v>0.010368956743002755</v>
      </c>
      <c r="G17" s="33">
        <v>0</v>
      </c>
      <c r="H17" s="33">
        <f t="shared" si="2"/>
        <v>0.010368956743002755</v>
      </c>
      <c r="I17" s="34">
        <f t="shared" si="0"/>
        <v>32.77847822052893</v>
      </c>
      <c r="J17" s="34">
        <f t="shared" si="1"/>
        <v>3193.991224396629</v>
      </c>
      <c r="K17" s="53"/>
      <c r="L17" s="93">
        <f>+'Population extract'!F22/'Population extract'!D22-1</f>
        <v>0.20254452926208666</v>
      </c>
      <c r="M17" s="93">
        <v>0</v>
      </c>
      <c r="N17" s="33">
        <f t="shared" si="3"/>
        <v>0.20254452926208666</v>
      </c>
      <c r="O17" s="34">
        <f t="shared" si="4"/>
        <v>640.2863475715465</v>
      </c>
      <c r="P17" s="34">
        <f t="shared" si="5"/>
        <v>3801.499093747647</v>
      </c>
      <c r="Q17" s="53"/>
      <c r="R17" s="33">
        <f>+'Population extract'!G22/'Population extract'!D22-1</f>
        <v>0.09013994910941481</v>
      </c>
      <c r="S17" s="50">
        <v>0</v>
      </c>
      <c r="T17" s="33">
        <f t="shared" si="6"/>
        <v>0.09013994910941481</v>
      </c>
      <c r="U17" s="34">
        <f t="shared" si="7"/>
        <v>284.9515560643471</v>
      </c>
      <c r="V17" s="34">
        <f t="shared" si="8"/>
        <v>3446.1643022404473</v>
      </c>
    </row>
    <row r="18" spans="1:22" ht="12.75" customHeight="1">
      <c r="A18" s="103"/>
      <c r="B18" s="53" t="s">
        <v>122</v>
      </c>
      <c r="C18" s="53"/>
      <c r="D18" s="32">
        <f>+'Baseline FT student numbers'!H25</f>
        <v>413.42982004898744</v>
      </c>
      <c r="E18" s="53"/>
      <c r="F18" s="33">
        <f>+'Population extract'!E23/'Population extract'!D23-1</f>
        <v>0.0454753423314489</v>
      </c>
      <c r="G18" s="33">
        <v>0</v>
      </c>
      <c r="H18" s="33">
        <f t="shared" si="2"/>
        <v>0.0454753423314489</v>
      </c>
      <c r="I18" s="34">
        <f t="shared" si="0"/>
        <v>18.800862596757018</v>
      </c>
      <c r="J18" s="34">
        <f t="shared" si="1"/>
        <v>432.2306826457445</v>
      </c>
      <c r="K18" s="53"/>
      <c r="L18" s="93">
        <f>+'Population extract'!F23/'Population extract'!D23-1</f>
        <v>0.1963953070361779</v>
      </c>
      <c r="M18" s="93">
        <v>0</v>
      </c>
      <c r="N18" s="33">
        <f t="shared" si="3"/>
        <v>0.1963953070361779</v>
      </c>
      <c r="O18" s="34">
        <f t="shared" si="4"/>
        <v>81.19567644643267</v>
      </c>
      <c r="P18" s="34">
        <f t="shared" si="5"/>
        <v>494.6254964954201</v>
      </c>
      <c r="Q18" s="53"/>
      <c r="R18" s="33">
        <f>+'Population extract'!G23/'Population extract'!D23-1</f>
        <v>0.3921043171345473</v>
      </c>
      <c r="S18" s="50">
        <v>0</v>
      </c>
      <c r="T18" s="33">
        <f t="shared" si="6"/>
        <v>0.3921043171345473</v>
      </c>
      <c r="U18" s="34">
        <f t="shared" si="7"/>
        <v>162.107617273367</v>
      </c>
      <c r="V18" s="34">
        <f t="shared" si="8"/>
        <v>575.5374373223544</v>
      </c>
    </row>
    <row r="19" spans="1:22" ht="12.75">
      <c r="A19" s="94" t="s">
        <v>123</v>
      </c>
      <c r="B19" s="94"/>
      <c r="C19" s="95"/>
      <c r="D19" s="95">
        <f>SUM(D3:D10)</f>
        <v>375042.9138566527</v>
      </c>
      <c r="E19" s="95"/>
      <c r="F19" s="95"/>
      <c r="G19" s="95"/>
      <c r="H19" s="95"/>
      <c r="I19" s="95">
        <f>SUM(I3:I10)</f>
        <v>10866.277145912287</v>
      </c>
      <c r="J19" s="95">
        <f>SUM(J3:J10)</f>
        <v>385909.1910025649</v>
      </c>
      <c r="K19" s="95"/>
      <c r="L19" s="95"/>
      <c r="M19" s="95"/>
      <c r="N19" s="95"/>
      <c r="O19" s="95">
        <f>SUM(O3:O10)</f>
        <v>-25368.406242438556</v>
      </c>
      <c r="P19" s="95">
        <f>SUM(P3:P10)</f>
        <v>349674.50761421415</v>
      </c>
      <c r="Q19" s="95"/>
      <c r="R19" s="95"/>
      <c r="S19" s="95"/>
      <c r="T19" s="95"/>
      <c r="U19" s="95">
        <f>SUM(U3:U10)</f>
        <v>11462.137604547119</v>
      </c>
      <c r="V19" s="95">
        <f>SUM(V3:V10)</f>
        <v>386505.0514611998</v>
      </c>
    </row>
    <row r="20" spans="1:22" ht="12.75">
      <c r="A20" s="94" t="s">
        <v>124</v>
      </c>
      <c r="B20" s="94"/>
      <c r="C20" s="32"/>
      <c r="D20" s="32">
        <f>SUM(D11:D18)</f>
        <v>482405.2730035726</v>
      </c>
      <c r="E20" s="32"/>
      <c r="F20" s="32"/>
      <c r="G20" s="32"/>
      <c r="H20" s="32"/>
      <c r="I20" s="32">
        <f>SUM(I11:I18)</f>
        <v>10651.678906355888</v>
      </c>
      <c r="J20" s="32">
        <f>SUM(J11:J18)</f>
        <v>493056.95190992847</v>
      </c>
      <c r="K20" s="32"/>
      <c r="L20" s="32"/>
      <c r="M20" s="32"/>
      <c r="N20" s="32"/>
      <c r="O20" s="32">
        <f>SUM(O11:O18)</f>
        <v>-33855.994246653536</v>
      </c>
      <c r="P20" s="32">
        <f>SUM(P11:P18)</f>
        <v>448549.278756919</v>
      </c>
      <c r="Q20" s="32"/>
      <c r="R20" s="32"/>
      <c r="S20" s="32"/>
      <c r="T20" s="32"/>
      <c r="U20" s="32">
        <f>SUM(U11:U18)</f>
        <v>13496.076172565501</v>
      </c>
      <c r="V20" s="32">
        <f>SUM(V11:V18)</f>
        <v>495901.3491761381</v>
      </c>
    </row>
    <row r="21" spans="1:22" ht="12.75">
      <c r="A21" s="94" t="s">
        <v>0</v>
      </c>
      <c r="B21" s="94"/>
      <c r="C21" s="32"/>
      <c r="D21" s="32">
        <f>SUM(D3:D18)</f>
        <v>857448.1868602252</v>
      </c>
      <c r="E21" s="32"/>
      <c r="F21" s="32"/>
      <c r="G21" s="32"/>
      <c r="H21" s="32"/>
      <c r="I21" s="32">
        <f>SUM(I3:I18)</f>
        <v>21517.95605226817</v>
      </c>
      <c r="J21" s="32">
        <f>SUM(J3:J18)</f>
        <v>878966.1429124934</v>
      </c>
      <c r="K21" s="32"/>
      <c r="L21" s="32"/>
      <c r="M21" s="32"/>
      <c r="N21" s="32"/>
      <c r="O21" s="32">
        <f>SUM(O3:O18)</f>
        <v>-59224.40048909209</v>
      </c>
      <c r="P21" s="32">
        <f>SUM(P3:P18)</f>
        <v>798223.786371133</v>
      </c>
      <c r="Q21" s="32"/>
      <c r="R21" s="32"/>
      <c r="S21" s="32"/>
      <c r="T21" s="32"/>
      <c r="U21" s="32">
        <f>SUM(U3:U18)</f>
        <v>24958.21377711262</v>
      </c>
      <c r="V21" s="32">
        <f>SUM(V3:V18)</f>
        <v>882406.4006373379</v>
      </c>
    </row>
    <row r="22" spans="1:16" ht="12.75">
      <c r="A22" s="31"/>
      <c r="B22" s="30"/>
      <c r="C22" s="30"/>
      <c r="D22" s="82"/>
      <c r="E22" s="30"/>
      <c r="F22" s="30"/>
      <c r="G22" s="30"/>
      <c r="H22" s="30"/>
      <c r="I22" s="43"/>
      <c r="J22" s="30"/>
      <c r="K22" s="30"/>
      <c r="L22" s="30"/>
      <c r="M22" s="44"/>
      <c r="N22" s="33"/>
      <c r="O22" s="32">
        <v>1.1088664421997756</v>
      </c>
      <c r="P22" s="34"/>
    </row>
    <row r="23" spans="1:16" ht="12.75">
      <c r="A23" s="31"/>
      <c r="B23" s="32"/>
      <c r="C23" s="32"/>
      <c r="D23" s="45"/>
      <c r="E23" s="45"/>
      <c r="F23" s="8"/>
      <c r="G23" s="8"/>
      <c r="H23" s="8"/>
      <c r="I23" s="46"/>
      <c r="J23" s="1"/>
      <c r="K23" s="34"/>
      <c r="L23" s="11"/>
      <c r="M23" s="47"/>
      <c r="N23" s="33"/>
      <c r="O23" s="32"/>
      <c r="P23" s="34"/>
    </row>
    <row r="24" spans="1:16" ht="12.75">
      <c r="A24" s="31"/>
      <c r="B24" s="32"/>
      <c r="C24" s="32"/>
      <c r="D24" s="45"/>
      <c r="E24" s="45"/>
      <c r="F24" s="8"/>
      <c r="G24" s="8"/>
      <c r="H24" s="8"/>
      <c r="I24" s="46"/>
      <c r="J24" s="1"/>
      <c r="K24" s="34"/>
      <c r="L24" s="11"/>
      <c r="M24" s="47"/>
      <c r="N24" s="33"/>
      <c r="O24" s="32"/>
      <c r="P24" s="34"/>
    </row>
    <row r="25" spans="2:16" ht="12.75">
      <c r="B25" s="1"/>
      <c r="C25" s="1"/>
      <c r="D25" s="48"/>
      <c r="E25" s="48"/>
      <c r="F25" s="8"/>
      <c r="G25" s="8"/>
      <c r="H25" s="8"/>
      <c r="I25" s="46"/>
      <c r="J25" s="1"/>
      <c r="K25" s="1"/>
      <c r="L25" s="49"/>
      <c r="M25" s="47"/>
      <c r="N25" s="33"/>
      <c r="O25" s="32"/>
      <c r="P25" s="34"/>
    </row>
    <row r="26" spans="14:16" ht="12.75">
      <c r="N26" s="33"/>
      <c r="O26" s="32"/>
      <c r="P26" s="34"/>
    </row>
    <row r="27" spans="1:16" ht="12.75">
      <c r="A27" s="38"/>
      <c r="B27" s="37"/>
      <c r="C27" s="39"/>
      <c r="D27" s="39"/>
      <c r="E27" s="39"/>
      <c r="F27" s="40"/>
      <c r="G27" s="40"/>
      <c r="H27" s="40"/>
      <c r="I27" s="41"/>
      <c r="J27" s="34"/>
      <c r="K27" s="33"/>
      <c r="L27" s="32"/>
      <c r="M27" s="34"/>
      <c r="N27" s="33"/>
      <c r="O27" s="32"/>
      <c r="P27" s="34"/>
    </row>
    <row r="28" spans="1:16" ht="12.75">
      <c r="A28" s="38"/>
      <c r="B28" s="37"/>
      <c r="C28" s="42"/>
      <c r="D28" s="42"/>
      <c r="E28" s="42"/>
      <c r="F28" s="41"/>
      <c r="G28" s="41"/>
      <c r="H28" s="41"/>
      <c r="I28" s="42"/>
      <c r="J28" s="34"/>
      <c r="K28" s="36"/>
      <c r="L28" s="35"/>
      <c r="M28" s="34"/>
      <c r="N28" s="36"/>
      <c r="O28" s="35"/>
      <c r="P28" s="34"/>
    </row>
    <row r="29" spans="1:16" ht="12.75">
      <c r="A29" s="37"/>
      <c r="B29" s="37"/>
      <c r="C29" s="42"/>
      <c r="D29" s="42"/>
      <c r="E29" s="42"/>
      <c r="F29" s="41"/>
      <c r="G29" s="41"/>
      <c r="H29" s="41"/>
      <c r="I29" s="42"/>
      <c r="J29" s="34"/>
      <c r="K29" s="36"/>
      <c r="L29" s="35"/>
      <c r="M29" s="34"/>
      <c r="N29" s="36"/>
      <c r="O29" s="35"/>
      <c r="P29" s="34"/>
    </row>
    <row r="30" spans="1:16" ht="12.75">
      <c r="A30" s="112"/>
      <c r="B30" s="112"/>
      <c r="C30" s="32"/>
      <c r="D30" s="32"/>
      <c r="E30" s="32"/>
      <c r="F30" s="37"/>
      <c r="G30" s="37"/>
      <c r="H30" s="37"/>
      <c r="I30" s="32"/>
      <c r="J30" s="32"/>
      <c r="K30" s="31"/>
      <c r="L30" s="32"/>
      <c r="M30" s="32"/>
      <c r="N30" s="31"/>
      <c r="O30" s="32"/>
      <c r="P30" s="32"/>
    </row>
    <row r="31" spans="1:21" ht="12.75">
      <c r="A31" s="4"/>
      <c r="B31" s="4"/>
      <c r="P31" s="1"/>
      <c r="U31">
        <f>928/857</f>
        <v>1.0828471411901983</v>
      </c>
    </row>
  </sheetData>
  <sheetProtection/>
  <mergeCells count="6">
    <mergeCell ref="A30:B30"/>
    <mergeCell ref="F1:J1"/>
    <mergeCell ref="L1:P1"/>
    <mergeCell ref="R1:V1"/>
    <mergeCell ref="A3:A10"/>
    <mergeCell ref="A11:A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Y11" sqref="Y11"/>
    </sheetView>
  </sheetViews>
  <sheetFormatPr defaultColWidth="9.140625" defaultRowHeight="12.75"/>
  <cols>
    <col min="1" max="1" width="11.00390625" style="0" customWidth="1"/>
    <col min="4" max="4" width="9.8515625" style="0" customWidth="1"/>
    <col min="5" max="5" width="5.421875" style="0" customWidth="1"/>
    <col min="6" max="6" width="0" style="0" hidden="1" customWidth="1"/>
    <col min="7" max="7" width="12.140625" style="0" hidden="1" customWidth="1"/>
    <col min="8" max="8" width="11.140625" style="0" hidden="1" customWidth="1"/>
    <col min="9" max="10" width="0" style="0" hidden="1" customWidth="1"/>
    <col min="11" max="11" width="6.140625" style="0" hidden="1" customWidth="1"/>
    <col min="12" max="12" width="0" style="0" hidden="1" customWidth="1"/>
    <col min="13" max="13" width="12.00390625" style="0" hidden="1" customWidth="1"/>
    <col min="14" max="14" width="12.140625" style="0" hidden="1" customWidth="1"/>
    <col min="15" max="16" width="9.8515625" style="0" customWidth="1"/>
    <col min="17" max="17" width="6.140625" style="0" customWidth="1"/>
    <col min="18" max="19" width="0" style="0" hidden="1" customWidth="1"/>
    <col min="20" max="20" width="13.8515625" style="0" hidden="1" customWidth="1"/>
    <col min="21" max="21" width="9.8515625" style="0" customWidth="1"/>
    <col min="22" max="22" width="11.7109375" style="0" customWidth="1"/>
  </cols>
  <sheetData>
    <row r="1" spans="6:22" ht="18">
      <c r="F1" s="113" t="s">
        <v>65</v>
      </c>
      <c r="G1" s="114"/>
      <c r="H1" s="114"/>
      <c r="I1" s="114"/>
      <c r="J1" s="114"/>
      <c r="L1" s="113" t="s">
        <v>66</v>
      </c>
      <c r="M1" s="113"/>
      <c r="N1" s="113"/>
      <c r="O1" s="113"/>
      <c r="P1" s="113"/>
      <c r="R1" s="113" t="s">
        <v>106</v>
      </c>
      <c r="S1" s="114"/>
      <c r="T1" s="114"/>
      <c r="U1" s="114"/>
      <c r="V1" s="114"/>
    </row>
    <row r="2" spans="1:22" ht="127.5">
      <c r="A2" s="86"/>
      <c r="B2" s="31"/>
      <c r="C2" s="86"/>
      <c r="D2" s="86" t="s">
        <v>69</v>
      </c>
      <c r="E2" s="86"/>
      <c r="F2" s="86" t="s">
        <v>70</v>
      </c>
      <c r="G2" s="86" t="s">
        <v>63</v>
      </c>
      <c r="H2" s="92" t="s">
        <v>64</v>
      </c>
      <c r="I2" s="86" t="s">
        <v>71</v>
      </c>
      <c r="J2" s="86" t="s">
        <v>52</v>
      </c>
      <c r="K2" s="53"/>
      <c r="L2" s="86" t="s">
        <v>72</v>
      </c>
      <c r="M2" s="86" t="s">
        <v>63</v>
      </c>
      <c r="N2" s="92" t="s">
        <v>64</v>
      </c>
      <c r="O2" s="86" t="s">
        <v>155</v>
      </c>
      <c r="P2" s="86" t="s">
        <v>53</v>
      </c>
      <c r="Q2" s="53"/>
      <c r="R2" s="86" t="s">
        <v>74</v>
      </c>
      <c r="S2" s="86" t="s">
        <v>63</v>
      </c>
      <c r="T2" s="92" t="s">
        <v>64</v>
      </c>
      <c r="U2" s="86" t="s">
        <v>156</v>
      </c>
      <c r="V2" s="86" t="s">
        <v>125</v>
      </c>
    </row>
    <row r="3" spans="1:22" ht="12.75">
      <c r="A3" s="103" t="s">
        <v>54</v>
      </c>
      <c r="B3" s="53" t="s">
        <v>115</v>
      </c>
      <c r="C3" s="32"/>
      <c r="D3" s="32">
        <f>+'Baseline FT student numbers'!H10</f>
        <v>233037.66055188753</v>
      </c>
      <c r="E3" s="32"/>
      <c r="F3" s="33">
        <f>+'Population extract'!E8/'Population extract'!D8-1</f>
        <v>0.013056547059928647</v>
      </c>
      <c r="G3" s="33">
        <f>+'Projected participation by clas'!B65-1</f>
        <v>0.010302968762011533</v>
      </c>
      <c r="H3" s="33">
        <f>(1+F3)*(1+G3)-1</f>
        <v>0.02349403701843844</v>
      </c>
      <c r="I3" s="34">
        <f aca="true" t="shared" si="0" ref="I3:I18">+$D3*H3</f>
        <v>5474.995423696337</v>
      </c>
      <c r="J3" s="34">
        <f aca="true" t="shared" si="1" ref="J3:J18">+I3+$D3</f>
        <v>238512.65597558385</v>
      </c>
      <c r="K3" s="53"/>
      <c r="L3" s="93">
        <f>+'Population extract'!F8/'Population extract'!D8-1</f>
        <v>-0.1290625587074956</v>
      </c>
      <c r="M3" s="93">
        <f>+'Projected participation by clas'!B75-1</f>
        <v>0.053664522137855775</v>
      </c>
      <c r="N3" s="33">
        <f>(1+L3)*(1+M3)-1</f>
        <v>-0.08232411710856657</v>
      </c>
      <c r="O3" s="34">
        <f aca="true" t="shared" si="2" ref="O3:O18">+$D3*N3</f>
        <v>-19184.619657979973</v>
      </c>
      <c r="P3" s="34">
        <f aca="true" t="shared" si="3" ref="P3:P18">+O3+$D3</f>
        <v>213853.04089390754</v>
      </c>
      <c r="Q3" s="53"/>
      <c r="R3" s="33">
        <f>+'Population extract'!G8/'Population extract'!D8-1</f>
        <v>0.019631786586511435</v>
      </c>
      <c r="S3" s="50">
        <f>+'Projected participation by clas'!B76-1</f>
        <v>0.08667986692764651</v>
      </c>
      <c r="T3" s="33">
        <f>(1+R3)*(1+S3)-1</f>
        <v>0.10801333416302872</v>
      </c>
      <c r="U3" s="34">
        <f aca="true" t="shared" si="4" ref="U3:U18">+$D3*T3</f>
        <v>25171.174701761483</v>
      </c>
      <c r="V3" s="34">
        <f aca="true" t="shared" si="5" ref="V3:V18">+U3+$D3</f>
        <v>258208.835253649</v>
      </c>
    </row>
    <row r="4" spans="1:24" ht="12.75">
      <c r="A4" s="103"/>
      <c r="B4" s="53" t="s">
        <v>116</v>
      </c>
      <c r="C4" s="32"/>
      <c r="D4" s="32">
        <f>+'Baseline FT student numbers'!H11</f>
        <v>101978.30362780864</v>
      </c>
      <c r="E4" s="32"/>
      <c r="F4" s="33">
        <f>+'Population extract'!E9/'Population extract'!D9-1</f>
        <v>0.059561348188634566</v>
      </c>
      <c r="G4" s="33">
        <v>0</v>
      </c>
      <c r="H4" s="33">
        <f aca="true" t="shared" si="6" ref="H4:H18">(1+F4)*(1+G4)-1</f>
        <v>0.059561348188634566</v>
      </c>
      <c r="I4" s="34">
        <f t="shared" si="0"/>
        <v>6073.965250062206</v>
      </c>
      <c r="J4" s="34">
        <f t="shared" si="1"/>
        <v>108052.26887787084</v>
      </c>
      <c r="K4" s="53"/>
      <c r="L4" s="93">
        <f>+'Population extract'!F9/'Population extract'!D9-1</f>
        <v>-0.008829093966785773</v>
      </c>
      <c r="M4" s="93">
        <v>0</v>
      </c>
      <c r="N4" s="33">
        <f aca="true" t="shared" si="7" ref="N4:N18">(1+L4)*(1+M4)-1</f>
        <v>-0.008829093966785773</v>
      </c>
      <c r="O4" s="34">
        <f t="shared" si="2"/>
        <v>-900.3760253033329</v>
      </c>
      <c r="P4" s="34">
        <f t="shared" si="3"/>
        <v>101077.9276025053</v>
      </c>
      <c r="Q4" s="53"/>
      <c r="R4" s="33">
        <f>+'Population extract'!G9/'Population extract'!D9-1</f>
        <v>0.024385116670170515</v>
      </c>
      <c r="S4" s="50">
        <v>0</v>
      </c>
      <c r="T4" s="33">
        <f aca="true" t="shared" si="8" ref="T4:T18">(1+R4)*(1+S4)-1</f>
        <v>0.024385116670170515</v>
      </c>
      <c r="U4" s="34">
        <f t="shared" si="4"/>
        <v>2486.7528317901865</v>
      </c>
      <c r="V4" s="34">
        <f t="shared" si="5"/>
        <v>104465.05645959883</v>
      </c>
      <c r="W4" s="1"/>
      <c r="X4" s="1"/>
    </row>
    <row r="5" spans="1:25" ht="12.75">
      <c r="A5" s="103"/>
      <c r="B5" s="53" t="s">
        <v>117</v>
      </c>
      <c r="C5" s="32"/>
      <c r="D5" s="32">
        <f>+'Baseline FT student numbers'!H12</f>
        <v>18595.926028004964</v>
      </c>
      <c r="E5" s="32"/>
      <c r="F5" s="33">
        <f>+'Population extract'!E10/'Population extract'!D10-1</f>
        <v>0.0998002819548871</v>
      </c>
      <c r="G5" s="33">
        <v>0</v>
      </c>
      <c r="H5" s="33">
        <f t="shared" si="6"/>
        <v>0.0998002819548871</v>
      </c>
      <c r="I5" s="34">
        <f t="shared" si="0"/>
        <v>1855.8786608071193</v>
      </c>
      <c r="J5" s="34">
        <f t="shared" si="1"/>
        <v>20451.804688812084</v>
      </c>
      <c r="K5" s="53"/>
      <c r="L5" s="93">
        <f>+'Population extract'!F10/'Population extract'!D10-1</f>
        <v>0.18056860902255645</v>
      </c>
      <c r="M5" s="93">
        <v>0</v>
      </c>
      <c r="N5" s="33">
        <f t="shared" si="7"/>
        <v>0.18056860902255645</v>
      </c>
      <c r="O5" s="34">
        <f t="shared" si="2"/>
        <v>3357.8404963632092</v>
      </c>
      <c r="P5" s="34">
        <f t="shared" si="3"/>
        <v>21953.766524368173</v>
      </c>
      <c r="Q5" s="53"/>
      <c r="R5" s="33">
        <f>+'Population extract'!G10/'Population extract'!D10-1</f>
        <v>0.08176691729323315</v>
      </c>
      <c r="S5" s="50">
        <v>0</v>
      </c>
      <c r="T5" s="33">
        <f t="shared" si="8"/>
        <v>0.08176691729323315</v>
      </c>
      <c r="U5" s="34">
        <f t="shared" si="4"/>
        <v>1520.5315455229636</v>
      </c>
      <c r="V5" s="34">
        <f t="shared" si="5"/>
        <v>20116.45757352793</v>
      </c>
      <c r="Y5" s="16" t="s">
        <v>60</v>
      </c>
    </row>
    <row r="6" spans="1:22" ht="12.75">
      <c r="A6" s="103"/>
      <c r="B6" s="53" t="s">
        <v>118</v>
      </c>
      <c r="C6" s="32"/>
      <c r="D6" s="32">
        <f>+'Baseline FT student numbers'!H13</f>
        <v>8434.809916419292</v>
      </c>
      <c r="E6" s="32"/>
      <c r="F6" s="33">
        <f>+'Population extract'!E11/'Population extract'!D11-1</f>
        <v>0.006639304683727865</v>
      </c>
      <c r="G6" s="33">
        <v>0</v>
      </c>
      <c r="H6" s="33">
        <f t="shared" si="6"/>
        <v>0.006639304683727865</v>
      </c>
      <c r="I6" s="34">
        <f t="shared" si="0"/>
        <v>56.001272984436845</v>
      </c>
      <c r="J6" s="34">
        <f t="shared" si="1"/>
        <v>8490.811189403728</v>
      </c>
      <c r="K6" s="53"/>
      <c r="L6" s="93">
        <f>+'Population extract'!F11/'Population extract'!D11-1</f>
        <v>0.26635683244809294</v>
      </c>
      <c r="M6" s="93">
        <v>0</v>
      </c>
      <c r="N6" s="33">
        <f t="shared" si="7"/>
        <v>0.26635683244809294</v>
      </c>
      <c r="O6" s="34">
        <f t="shared" si="2"/>
        <v>2246.6692516392063</v>
      </c>
      <c r="P6" s="34">
        <f t="shared" si="3"/>
        <v>10681.479168058499</v>
      </c>
      <c r="Q6" s="53"/>
      <c r="R6" s="33">
        <f>+'Population extract'!G11/'Population extract'!D11-1</f>
        <v>0.20376629647513278</v>
      </c>
      <c r="S6" s="50">
        <v>0</v>
      </c>
      <c r="T6" s="33">
        <f t="shared" si="8"/>
        <v>0.20376629647513278</v>
      </c>
      <c r="U6" s="34">
        <f t="shared" si="4"/>
        <v>1718.7299781404834</v>
      </c>
      <c r="V6" s="34">
        <f t="shared" si="5"/>
        <v>10153.539894559775</v>
      </c>
    </row>
    <row r="7" spans="1:22" ht="12.75">
      <c r="A7" s="103"/>
      <c r="B7" s="53" t="s">
        <v>119</v>
      </c>
      <c r="C7" s="32"/>
      <c r="D7" s="32">
        <f>+'Baseline FT student numbers'!H14</f>
        <v>5673.351194718039</v>
      </c>
      <c r="E7" s="32"/>
      <c r="F7" s="33">
        <f>+'Population extract'!E12/'Population extract'!D12-1</f>
        <v>-0.0639240506329114</v>
      </c>
      <c r="G7" s="33">
        <v>0</v>
      </c>
      <c r="H7" s="33">
        <f t="shared" si="6"/>
        <v>-0.0639240506329114</v>
      </c>
      <c r="I7" s="34">
        <f t="shared" si="0"/>
        <v>-362.66358902944427</v>
      </c>
      <c r="J7" s="34">
        <f t="shared" si="1"/>
        <v>5310.687605688594</v>
      </c>
      <c r="K7" s="53"/>
      <c r="L7" s="93">
        <f>+'Population extract'!F12/'Population extract'!D12-1</f>
        <v>0.021677215189873422</v>
      </c>
      <c r="M7" s="93">
        <v>0</v>
      </c>
      <c r="N7" s="33">
        <f t="shared" si="7"/>
        <v>0.021677215189873422</v>
      </c>
      <c r="O7" s="34">
        <f t="shared" si="2"/>
        <v>122.98245469562839</v>
      </c>
      <c r="P7" s="34">
        <f t="shared" si="3"/>
        <v>5796.333649413667</v>
      </c>
      <c r="Q7" s="53"/>
      <c r="R7" s="33">
        <f>+'Population extract'!G12/'Population extract'!D12-1</f>
        <v>0.11582278481012653</v>
      </c>
      <c r="S7" s="50">
        <v>0</v>
      </c>
      <c r="T7" s="33">
        <f t="shared" si="8"/>
        <v>0.11582278481012653</v>
      </c>
      <c r="U7" s="34">
        <f t="shared" si="4"/>
        <v>657.1033345781017</v>
      </c>
      <c r="V7" s="34">
        <f t="shared" si="5"/>
        <v>6330.45452929614</v>
      </c>
    </row>
    <row r="8" spans="1:22" ht="12.75">
      <c r="A8" s="103"/>
      <c r="B8" s="53" t="s">
        <v>120</v>
      </c>
      <c r="C8" s="32"/>
      <c r="D8" s="32">
        <f>+'Baseline FT student numbers'!H15</f>
        <v>5748.04207823834</v>
      </c>
      <c r="E8" s="32"/>
      <c r="F8" s="33">
        <f>+'Population extract'!E13/'Population extract'!D13-1</f>
        <v>0.028153545310867667</v>
      </c>
      <c r="G8" s="33">
        <v>0</v>
      </c>
      <c r="H8" s="33">
        <f t="shared" si="6"/>
        <v>0.028153545310867667</v>
      </c>
      <c r="I8" s="34">
        <f t="shared" si="0"/>
        <v>161.82776309845704</v>
      </c>
      <c r="J8" s="34">
        <f t="shared" si="1"/>
        <v>5909.8698413367965</v>
      </c>
      <c r="K8" s="53"/>
      <c r="L8" s="93">
        <f>+'Population extract'!F13/'Population extract'!D13-1</f>
        <v>-0.08044252765797866</v>
      </c>
      <c r="M8" s="93">
        <v>0</v>
      </c>
      <c r="N8" s="33">
        <f t="shared" si="7"/>
        <v>-0.08044252765797866</v>
      </c>
      <c r="O8" s="34">
        <f t="shared" si="2"/>
        <v>-462.3870338579128</v>
      </c>
      <c r="P8" s="34">
        <f t="shared" si="3"/>
        <v>5285.655044380427</v>
      </c>
      <c r="Q8" s="53"/>
      <c r="R8" s="33">
        <f>+'Population extract'!G13/'Population extract'!D13-1</f>
        <v>0.039270311537328295</v>
      </c>
      <c r="S8" s="50">
        <v>0</v>
      </c>
      <c r="T8" s="33">
        <f t="shared" si="8"/>
        <v>0.039270311537328295</v>
      </c>
      <c r="U8" s="34">
        <f t="shared" si="4"/>
        <v>225.7274031420916</v>
      </c>
      <c r="V8" s="34">
        <f t="shared" si="5"/>
        <v>5973.769481380432</v>
      </c>
    </row>
    <row r="9" spans="1:22" ht="12.75">
      <c r="A9" s="103"/>
      <c r="B9" s="53" t="s">
        <v>121</v>
      </c>
      <c r="C9" s="32"/>
      <c r="D9" s="32">
        <f>+'Baseline FT student numbers'!H16</f>
        <v>1255.0172399960356</v>
      </c>
      <c r="E9" s="32"/>
      <c r="F9" s="33">
        <f>+'Population extract'!E14/'Population extract'!D14-1</f>
        <v>0.01314116150911393</v>
      </c>
      <c r="G9" s="33">
        <v>0</v>
      </c>
      <c r="H9" s="33">
        <f t="shared" si="6"/>
        <v>0.01314116150911393</v>
      </c>
      <c r="I9" s="34">
        <f t="shared" si="0"/>
        <v>16.4923842475103</v>
      </c>
      <c r="J9" s="34">
        <f t="shared" si="1"/>
        <v>1271.5096242435459</v>
      </c>
      <c r="K9" s="53"/>
      <c r="L9" s="93">
        <f>+'Population extract'!F14/'Population extract'!D14-1</f>
        <v>0.20266084064303658</v>
      </c>
      <c r="M9" s="93">
        <v>0</v>
      </c>
      <c r="N9" s="33">
        <f t="shared" si="7"/>
        <v>0.20266084064303658</v>
      </c>
      <c r="O9" s="34">
        <f t="shared" si="2"/>
        <v>254.34284887910016</v>
      </c>
      <c r="P9" s="34">
        <f t="shared" si="3"/>
        <v>1509.3600888751357</v>
      </c>
      <c r="Q9" s="53"/>
      <c r="R9" s="33">
        <f>+'Population extract'!G14/'Population extract'!D14-1</f>
        <v>0.0934555059184139</v>
      </c>
      <c r="S9" s="50">
        <v>0</v>
      </c>
      <c r="T9" s="33">
        <f t="shared" si="8"/>
        <v>0.0934555059184139</v>
      </c>
      <c r="U9" s="34">
        <f t="shared" si="4"/>
        <v>117.28827110016098</v>
      </c>
      <c r="V9" s="34">
        <f t="shared" si="5"/>
        <v>1372.3055110961966</v>
      </c>
    </row>
    <row r="10" spans="1:22" ht="12.75">
      <c r="A10" s="103"/>
      <c r="B10" s="53" t="s">
        <v>122</v>
      </c>
      <c r="C10" s="32"/>
      <c r="D10" s="32">
        <f>+'Baseline FT student numbers'!H17</f>
        <v>319.8032195798783</v>
      </c>
      <c r="E10" s="32"/>
      <c r="F10" s="33">
        <f>+'Population extract'!E15/'Population extract'!D15-1</f>
        <v>0.06913070493676199</v>
      </c>
      <c r="G10" s="33">
        <v>0</v>
      </c>
      <c r="H10" s="33">
        <f t="shared" si="6"/>
        <v>0.06913070493676199</v>
      </c>
      <c r="I10" s="34">
        <f t="shared" si="0"/>
        <v>22.108222010603072</v>
      </c>
      <c r="J10" s="34">
        <f t="shared" si="1"/>
        <v>341.9114415904814</v>
      </c>
      <c r="K10" s="53"/>
      <c r="L10" s="93">
        <f>+'Population extract'!F15/'Population extract'!D15-1</f>
        <v>0.2781664027580124</v>
      </c>
      <c r="M10" s="93">
        <v>0</v>
      </c>
      <c r="N10" s="33">
        <f t="shared" si="7"/>
        <v>0.2781664027580124</v>
      </c>
      <c r="O10" s="34">
        <f t="shared" si="2"/>
        <v>88.95851118096552</v>
      </c>
      <c r="P10" s="34">
        <f t="shared" si="3"/>
        <v>408.7617307608438</v>
      </c>
      <c r="Q10" s="53"/>
      <c r="R10" s="33">
        <f>+'Population extract'!G15/'Population extract'!D15-1</f>
        <v>0.5036178869936463</v>
      </c>
      <c r="S10" s="50">
        <v>0</v>
      </c>
      <c r="T10" s="33">
        <f t="shared" si="8"/>
        <v>0.5036178869936463</v>
      </c>
      <c r="U10" s="34">
        <f t="shared" si="4"/>
        <v>161.0586216985834</v>
      </c>
      <c r="V10" s="34">
        <f t="shared" si="5"/>
        <v>480.8618412784617</v>
      </c>
    </row>
    <row r="11" spans="1:25" ht="12.75">
      <c r="A11" s="103" t="s">
        <v>55</v>
      </c>
      <c r="B11" s="53" t="s">
        <v>115</v>
      </c>
      <c r="C11" s="32"/>
      <c r="D11" s="32">
        <f>+'Baseline FT student numbers'!H18</f>
        <v>286479.51370280003</v>
      </c>
      <c r="E11" s="32"/>
      <c r="F11" s="33">
        <f>+'Population extract'!E16/'Population extract'!D16-1</f>
        <v>0.011249497790277285</v>
      </c>
      <c r="G11" s="33">
        <f>+G3</f>
        <v>0.010302968762011533</v>
      </c>
      <c r="H11" s="33">
        <f t="shared" si="6"/>
        <v>0.021668369776610463</v>
      </c>
      <c r="I11" s="34">
        <f t="shared" si="0"/>
        <v>6207.544036335816</v>
      </c>
      <c r="J11" s="34">
        <f t="shared" si="1"/>
        <v>292687.05773913587</v>
      </c>
      <c r="K11" s="53"/>
      <c r="L11" s="93">
        <f>+'Population extract'!F16/'Population extract'!D16-1</f>
        <v>-0.1324829248694256</v>
      </c>
      <c r="M11" s="93">
        <f>+M3</f>
        <v>0.053664522137855775</v>
      </c>
      <c r="N11" s="33">
        <f t="shared" si="7"/>
        <v>-0.08592803558611295</v>
      </c>
      <c r="O11" s="34">
        <f t="shared" si="2"/>
        <v>-24616.621848146533</v>
      </c>
      <c r="P11" s="34">
        <f t="shared" si="3"/>
        <v>261862.89185465348</v>
      </c>
      <c r="Q11" s="53"/>
      <c r="R11" s="33">
        <f>+'Population extract'!G16/'Population extract'!D16-1</f>
        <v>0.023202089192446707</v>
      </c>
      <c r="S11" s="50">
        <f>+S3</f>
        <v>0.08667986692764651</v>
      </c>
      <c r="T11" s="33">
        <f t="shared" si="8"/>
        <v>0.11189311012373793</v>
      </c>
      <c r="U11" s="34">
        <f t="shared" si="4"/>
        <v>32055.083774942294</v>
      </c>
      <c r="V11" s="34">
        <f t="shared" si="5"/>
        <v>318534.59747774235</v>
      </c>
      <c r="Y11">
        <f>576*0.2</f>
        <v>115.2</v>
      </c>
    </row>
    <row r="12" spans="1:22" ht="12.75">
      <c r="A12" s="103"/>
      <c r="B12" s="53" t="s">
        <v>116</v>
      </c>
      <c r="C12" s="32"/>
      <c r="D12" s="32">
        <f>+'Baseline FT student numbers'!H19</f>
        <v>110304.75916390975</v>
      </c>
      <c r="E12" s="32"/>
      <c r="F12" s="33">
        <f>+'Population extract'!E17/'Population extract'!D17-1</f>
        <v>0.049389002036659635</v>
      </c>
      <c r="G12" s="33">
        <v>0</v>
      </c>
      <c r="H12" s="33">
        <f t="shared" si="6"/>
        <v>0.049389002036659635</v>
      </c>
      <c r="I12" s="34">
        <f t="shared" si="0"/>
        <v>5447.841974999589</v>
      </c>
      <c r="J12" s="34">
        <f t="shared" si="1"/>
        <v>115752.60113890935</v>
      </c>
      <c r="K12" s="53"/>
      <c r="L12" s="93">
        <f>+'Population extract'!F17/'Population extract'!D17-1</f>
        <v>-0.02582193773639818</v>
      </c>
      <c r="M12" s="93">
        <v>0</v>
      </c>
      <c r="N12" s="33">
        <f t="shared" si="7"/>
        <v>-0.02582193773639818</v>
      </c>
      <c r="O12" s="34">
        <f t="shared" si="2"/>
        <v>-2848.2826231588742</v>
      </c>
      <c r="P12" s="34">
        <f t="shared" si="3"/>
        <v>107456.47654075088</v>
      </c>
      <c r="Q12" s="53"/>
      <c r="R12" s="33">
        <f>+'Population extract'!G17/'Population extract'!D17-1</f>
        <v>0.00945592086121616</v>
      </c>
      <c r="S12" s="50">
        <v>0</v>
      </c>
      <c r="T12" s="33">
        <f t="shared" si="8"/>
        <v>0.00945592086121616</v>
      </c>
      <c r="U12" s="34">
        <f t="shared" si="4"/>
        <v>1043.0330732694388</v>
      </c>
      <c r="V12" s="34">
        <f t="shared" si="5"/>
        <v>111347.7922371792</v>
      </c>
    </row>
    <row r="13" spans="1:22" ht="12.75" customHeight="1">
      <c r="A13" s="103"/>
      <c r="B13" s="53" t="s">
        <v>117</v>
      </c>
      <c r="C13" s="32"/>
      <c r="D13" s="32">
        <f>+'Baseline FT student numbers'!H20</f>
        <v>28774.925872264514</v>
      </c>
      <c r="E13" s="32"/>
      <c r="F13" s="33">
        <f>+'Population extract'!E18/'Population extract'!D18-1</f>
        <v>0.07898149239655794</v>
      </c>
      <c r="G13" s="33">
        <v>0</v>
      </c>
      <c r="H13" s="33">
        <f t="shared" si="6"/>
        <v>0.07898149239655794</v>
      </c>
      <c r="I13" s="34">
        <f t="shared" si="0"/>
        <v>2272.686588991778</v>
      </c>
      <c r="J13" s="34">
        <f t="shared" si="1"/>
        <v>31047.612461256293</v>
      </c>
      <c r="K13" s="53"/>
      <c r="L13" s="93">
        <f>+'Population extract'!F18/'Population extract'!D18-1</f>
        <v>0.13226452905811636</v>
      </c>
      <c r="M13" s="93">
        <v>0</v>
      </c>
      <c r="N13" s="33">
        <f t="shared" si="7"/>
        <v>0.13226452905811636</v>
      </c>
      <c r="O13" s="34">
        <f t="shared" si="2"/>
        <v>3805.9020191772743</v>
      </c>
      <c r="P13" s="34">
        <f t="shared" si="3"/>
        <v>32580.82789144179</v>
      </c>
      <c r="Q13" s="53"/>
      <c r="R13" s="33">
        <f>+'Population extract'!G18/'Population extract'!D18-1</f>
        <v>0.03860662501473544</v>
      </c>
      <c r="S13" s="50">
        <v>0</v>
      </c>
      <c r="T13" s="33">
        <f t="shared" si="8"/>
        <v>0.03860662501473544</v>
      </c>
      <c r="U13" s="34">
        <f t="shared" si="4"/>
        <v>1110.9027729773252</v>
      </c>
      <c r="V13" s="34">
        <f t="shared" si="5"/>
        <v>29885.82864524184</v>
      </c>
    </row>
    <row r="14" spans="1:22" ht="12.75">
      <c r="A14" s="103"/>
      <c r="B14" s="53" t="s">
        <v>118</v>
      </c>
      <c r="C14" s="53"/>
      <c r="D14" s="32">
        <f>+'Baseline FT student numbers'!H21</f>
        <v>17665.971928963478</v>
      </c>
      <c r="E14" s="53"/>
      <c r="F14" s="33">
        <f>+'Population extract'!E19/'Population extract'!D19-1</f>
        <v>0.011874623267028372</v>
      </c>
      <c r="G14" s="33">
        <v>0</v>
      </c>
      <c r="H14" s="33">
        <f t="shared" si="6"/>
        <v>0.011874623267028372</v>
      </c>
      <c r="I14" s="34">
        <f t="shared" si="0"/>
        <v>209.77676130233982</v>
      </c>
      <c r="J14" s="34">
        <f t="shared" si="1"/>
        <v>17875.748690265817</v>
      </c>
      <c r="K14" s="53"/>
      <c r="L14" s="93">
        <f>+'Population extract'!F19/'Population extract'!D19-1</f>
        <v>0.2275467148884871</v>
      </c>
      <c r="M14" s="93">
        <v>0</v>
      </c>
      <c r="N14" s="33">
        <f t="shared" si="7"/>
        <v>0.2275467148884871</v>
      </c>
      <c r="O14" s="34">
        <f t="shared" si="2"/>
        <v>4019.833877747869</v>
      </c>
      <c r="P14" s="34">
        <f t="shared" si="3"/>
        <v>21685.805806711345</v>
      </c>
      <c r="Q14" s="53"/>
      <c r="R14" s="33">
        <f>+'Population extract'!G19/'Population extract'!D19-1</f>
        <v>0.16015672091621447</v>
      </c>
      <c r="S14" s="50">
        <v>0</v>
      </c>
      <c r="T14" s="33">
        <f t="shared" si="8"/>
        <v>0.16015672091621447</v>
      </c>
      <c r="U14" s="34">
        <f t="shared" si="4"/>
        <v>2829.3241359406825</v>
      </c>
      <c r="V14" s="34">
        <f t="shared" si="5"/>
        <v>20495.29606490416</v>
      </c>
    </row>
    <row r="15" spans="1:22" ht="12.75">
      <c r="A15" s="103"/>
      <c r="B15" s="53" t="s">
        <v>119</v>
      </c>
      <c r="C15" s="53"/>
      <c r="D15" s="32">
        <f>+'Baseline FT student numbers'!H22</f>
        <v>16485.64557248774</v>
      </c>
      <c r="E15" s="53"/>
      <c r="F15" s="33">
        <f>+'Population extract'!E20/'Population extract'!D20-1</f>
        <v>-0.06604757929883154</v>
      </c>
      <c r="G15" s="33">
        <v>0</v>
      </c>
      <c r="H15" s="33">
        <f t="shared" si="6"/>
        <v>-0.06604757929883154</v>
      </c>
      <c r="I15" s="34">
        <f t="shared" si="0"/>
        <v>-1088.8369832413152</v>
      </c>
      <c r="J15" s="34">
        <f t="shared" si="1"/>
        <v>15396.808589246426</v>
      </c>
      <c r="K15" s="53"/>
      <c r="L15" s="93">
        <f>+'Population extract'!F20/'Population extract'!D20-1</f>
        <v>-0.0011477462437397001</v>
      </c>
      <c r="M15" s="93">
        <v>0</v>
      </c>
      <c r="N15" s="33">
        <f t="shared" si="7"/>
        <v>-0.0011477462437397001</v>
      </c>
      <c r="O15" s="34">
        <f t="shared" si="2"/>
        <v>-18.921337781446823</v>
      </c>
      <c r="P15" s="34">
        <f t="shared" si="3"/>
        <v>16466.724234706293</v>
      </c>
      <c r="Q15" s="53"/>
      <c r="R15" s="33">
        <f>+'Population extract'!G20/'Population extract'!D20-1</f>
        <v>0.06818656093489128</v>
      </c>
      <c r="S15" s="50">
        <v>0</v>
      </c>
      <c r="T15" s="33">
        <f t="shared" si="8"/>
        <v>0.06818656093489128</v>
      </c>
      <c r="U15" s="34">
        <f t="shared" si="4"/>
        <v>1124.099476379456</v>
      </c>
      <c r="V15" s="34">
        <f t="shared" si="5"/>
        <v>17609.745048867197</v>
      </c>
    </row>
    <row r="16" spans="1:22" ht="12.75">
      <c r="A16" s="103"/>
      <c r="B16" s="53" t="s">
        <v>120</v>
      </c>
      <c r="C16" s="53"/>
      <c r="D16" s="32">
        <f>+'Baseline FT student numbers'!H23</f>
        <v>19119.814196922</v>
      </c>
      <c r="E16" s="53"/>
      <c r="F16" s="33">
        <f>+'Population extract'!E21/'Population extract'!D21-1</f>
        <v>0.028027498677948293</v>
      </c>
      <c r="G16" s="33">
        <v>0</v>
      </c>
      <c r="H16" s="33">
        <f t="shared" si="6"/>
        <v>0.028027498677948293</v>
      </c>
      <c r="I16" s="34">
        <f t="shared" si="0"/>
        <v>535.8805671268484</v>
      </c>
      <c r="J16" s="34">
        <f t="shared" si="1"/>
        <v>19655.69476404885</v>
      </c>
      <c r="K16" s="53"/>
      <c r="L16" s="93">
        <f>+'Population extract'!F21/'Population extract'!D21-1</f>
        <v>-0.08276044420941309</v>
      </c>
      <c r="M16" s="93">
        <v>0</v>
      </c>
      <c r="N16" s="33">
        <f t="shared" si="7"/>
        <v>-0.08276044420941309</v>
      </c>
      <c r="O16" s="34">
        <f t="shared" si="2"/>
        <v>-1582.3643161387076</v>
      </c>
      <c r="P16" s="34">
        <f t="shared" si="3"/>
        <v>17537.449880783293</v>
      </c>
      <c r="Q16" s="53"/>
      <c r="R16" s="33">
        <f>+'Population extract'!G21/'Population extract'!D21-1</f>
        <v>0.015415124272871283</v>
      </c>
      <c r="S16" s="50">
        <v>0</v>
      </c>
      <c r="T16" s="33">
        <f t="shared" si="8"/>
        <v>0.015415124272871283</v>
      </c>
      <c r="U16" s="34">
        <f t="shared" si="4"/>
        <v>294.7343119197613</v>
      </c>
      <c r="V16" s="34">
        <f t="shared" si="5"/>
        <v>19414.548508841763</v>
      </c>
    </row>
    <row r="17" spans="1:22" ht="12.75">
      <c r="A17" s="103"/>
      <c r="B17" s="53" t="s">
        <v>121</v>
      </c>
      <c r="C17" s="53"/>
      <c r="D17" s="32">
        <f>+'Baseline FT student numbers'!H24</f>
        <v>3161.2127461761</v>
      </c>
      <c r="E17" s="53"/>
      <c r="F17" s="33">
        <f>+'Population extract'!E22/'Population extract'!D22-1</f>
        <v>0.010368956743002755</v>
      </c>
      <c r="G17" s="33">
        <v>0</v>
      </c>
      <c r="H17" s="33">
        <f t="shared" si="6"/>
        <v>0.010368956743002755</v>
      </c>
      <c r="I17" s="34">
        <f t="shared" si="0"/>
        <v>32.77847822052893</v>
      </c>
      <c r="J17" s="34">
        <f t="shared" si="1"/>
        <v>3193.991224396629</v>
      </c>
      <c r="K17" s="53"/>
      <c r="L17" s="93">
        <f>+'Population extract'!F22/'Population extract'!D22-1</f>
        <v>0.20254452926208666</v>
      </c>
      <c r="M17" s="93">
        <v>0</v>
      </c>
      <c r="N17" s="33">
        <f t="shared" si="7"/>
        <v>0.20254452926208666</v>
      </c>
      <c r="O17" s="34">
        <f t="shared" si="2"/>
        <v>640.2863475715465</v>
      </c>
      <c r="P17" s="34">
        <f t="shared" si="3"/>
        <v>3801.499093747647</v>
      </c>
      <c r="Q17" s="53"/>
      <c r="R17" s="33">
        <f>+'Population extract'!G22/'Population extract'!D22-1</f>
        <v>0.09013994910941481</v>
      </c>
      <c r="S17" s="50">
        <v>0</v>
      </c>
      <c r="T17" s="33">
        <f t="shared" si="8"/>
        <v>0.09013994910941481</v>
      </c>
      <c r="U17" s="34">
        <f t="shared" si="4"/>
        <v>284.9515560643471</v>
      </c>
      <c r="V17" s="34">
        <f t="shared" si="5"/>
        <v>3446.1643022404473</v>
      </c>
    </row>
    <row r="18" spans="1:22" ht="12.75">
      <c r="A18" s="103"/>
      <c r="B18" s="53" t="s">
        <v>122</v>
      </c>
      <c r="C18" s="53"/>
      <c r="D18" s="32">
        <f>+'Baseline FT student numbers'!H25</f>
        <v>413.42982004898744</v>
      </c>
      <c r="E18" s="53"/>
      <c r="F18" s="33">
        <f>+'Population extract'!E23/'Population extract'!D23-1</f>
        <v>0.0454753423314489</v>
      </c>
      <c r="G18" s="33">
        <v>0</v>
      </c>
      <c r="H18" s="33">
        <f t="shared" si="6"/>
        <v>0.0454753423314489</v>
      </c>
      <c r="I18" s="34">
        <f t="shared" si="0"/>
        <v>18.800862596757018</v>
      </c>
      <c r="J18" s="34">
        <f t="shared" si="1"/>
        <v>432.2306826457445</v>
      </c>
      <c r="K18" s="53"/>
      <c r="L18" s="93">
        <f>+'Population extract'!F23/'Population extract'!D23-1</f>
        <v>0.1963953070361779</v>
      </c>
      <c r="M18" s="93">
        <v>0</v>
      </c>
      <c r="N18" s="33">
        <f t="shared" si="7"/>
        <v>0.1963953070361779</v>
      </c>
      <c r="O18" s="34">
        <f t="shared" si="2"/>
        <v>81.19567644643267</v>
      </c>
      <c r="P18" s="34">
        <f t="shared" si="3"/>
        <v>494.6254964954201</v>
      </c>
      <c r="Q18" s="53"/>
      <c r="R18" s="33">
        <f>+'Population extract'!G23/'Population extract'!D23-1</f>
        <v>0.3921043171345473</v>
      </c>
      <c r="S18" s="50">
        <v>0</v>
      </c>
      <c r="T18" s="33">
        <f t="shared" si="8"/>
        <v>0.3921043171345473</v>
      </c>
      <c r="U18" s="34">
        <f t="shared" si="4"/>
        <v>162.107617273367</v>
      </c>
      <c r="V18" s="34">
        <f t="shared" si="5"/>
        <v>575.5374373223544</v>
      </c>
    </row>
    <row r="19" spans="1:22" ht="12.75">
      <c r="A19" s="94" t="s">
        <v>123</v>
      </c>
      <c r="B19" s="94"/>
      <c r="C19" s="95"/>
      <c r="D19" s="95">
        <f>SUM(D3:D10)</f>
        <v>375042.9138566527</v>
      </c>
      <c r="E19" s="95"/>
      <c r="F19" s="95"/>
      <c r="G19" s="95"/>
      <c r="H19" s="95"/>
      <c r="I19" s="95">
        <f>SUM(I3:I10)</f>
        <v>13298.605387877225</v>
      </c>
      <c r="J19" s="95">
        <f>SUM(J3:J10)</f>
        <v>388341.51924452983</v>
      </c>
      <c r="K19" s="95"/>
      <c r="L19" s="95"/>
      <c r="M19" s="95"/>
      <c r="N19" s="95"/>
      <c r="O19" s="95">
        <f>SUM(O3:O10)</f>
        <v>-14476.58915438311</v>
      </c>
      <c r="P19" s="95">
        <f>SUM(P3:P10)</f>
        <v>360566.3247022696</v>
      </c>
      <c r="Q19" s="95"/>
      <c r="R19" s="95"/>
      <c r="S19" s="95"/>
      <c r="T19" s="95"/>
      <c r="U19" s="95">
        <f>SUM(U3:U10)</f>
        <v>32058.36668773406</v>
      </c>
      <c r="V19" s="95">
        <f>SUM(V3:V10)</f>
        <v>407101.28054438677</v>
      </c>
    </row>
    <row r="20" spans="1:22" ht="12.75">
      <c r="A20" s="94" t="s">
        <v>124</v>
      </c>
      <c r="B20" s="94"/>
      <c r="C20" s="32"/>
      <c r="D20" s="32">
        <f>SUM(D11:D18)</f>
        <v>482405.2730035726</v>
      </c>
      <c r="E20" s="32"/>
      <c r="F20" s="32"/>
      <c r="G20" s="32"/>
      <c r="H20" s="32"/>
      <c r="I20" s="32">
        <f>SUM(I11:I18)</f>
        <v>13636.472286332346</v>
      </c>
      <c r="J20" s="32">
        <f>SUM(J11:J18)</f>
        <v>496041.74528990494</v>
      </c>
      <c r="K20" s="32"/>
      <c r="L20" s="32"/>
      <c r="M20" s="32"/>
      <c r="N20" s="32"/>
      <c r="O20" s="32">
        <f>SUM(O11:O18)</f>
        <v>-20518.97220428244</v>
      </c>
      <c r="P20" s="32">
        <f>SUM(P11:P18)</f>
        <v>461886.3007992901</v>
      </c>
      <c r="Q20" s="32"/>
      <c r="R20" s="32"/>
      <c r="S20" s="32"/>
      <c r="T20" s="32"/>
      <c r="U20" s="32">
        <f>SUM(U11:U18)</f>
        <v>38904.236718766675</v>
      </c>
      <c r="V20" s="32">
        <f>SUM(V11:V18)</f>
        <v>521309.50972233934</v>
      </c>
    </row>
    <row r="21" spans="1:22" ht="12.75">
      <c r="A21" s="94" t="s">
        <v>0</v>
      </c>
      <c r="B21" s="94"/>
      <c r="C21" s="32"/>
      <c r="D21" s="32">
        <f>SUM(D3:D18)</f>
        <v>857448.1868602252</v>
      </c>
      <c r="E21" s="32"/>
      <c r="F21" s="32"/>
      <c r="G21" s="32"/>
      <c r="H21" s="32"/>
      <c r="I21" s="32">
        <f>SUM(I3:I18)</f>
        <v>26935.077674209566</v>
      </c>
      <c r="J21" s="32">
        <f>SUM(J3:J18)</f>
        <v>884383.2645344349</v>
      </c>
      <c r="K21" s="32"/>
      <c r="L21" s="32"/>
      <c r="M21" s="32"/>
      <c r="N21" s="32"/>
      <c r="O21" s="32">
        <f>SUM(O3:O18)</f>
        <v>-34995.561358665545</v>
      </c>
      <c r="P21" s="32">
        <f>SUM(P3:P18)</f>
        <v>822452.6255015596</v>
      </c>
      <c r="Q21" s="32"/>
      <c r="R21" s="32"/>
      <c r="S21" s="32"/>
      <c r="T21" s="32"/>
      <c r="U21" s="32">
        <f>SUM(U3:U18)</f>
        <v>70962.60340650074</v>
      </c>
      <c r="V21" s="32">
        <f>SUM(V3:V18)</f>
        <v>928410.7902667262</v>
      </c>
    </row>
    <row r="22" spans="1:16" ht="12.75">
      <c r="A22" s="31"/>
      <c r="B22" s="30"/>
      <c r="C22" s="30"/>
      <c r="D22" s="82"/>
      <c r="E22" s="30"/>
      <c r="F22" s="30"/>
      <c r="G22" s="30"/>
      <c r="H22" s="30"/>
      <c r="I22" s="43"/>
      <c r="J22" s="30"/>
      <c r="K22" s="30"/>
      <c r="L22" s="30"/>
      <c r="M22" s="44"/>
      <c r="N22" s="33"/>
      <c r="O22" s="32">
        <v>1.1088664421997756</v>
      </c>
      <c r="P22" s="34"/>
    </row>
    <row r="23" spans="1:16" ht="12.75">
      <c r="A23" s="31"/>
      <c r="B23" s="32"/>
      <c r="C23" s="32"/>
      <c r="D23" s="45"/>
      <c r="E23" s="45"/>
      <c r="F23" s="8"/>
      <c r="G23" s="8"/>
      <c r="H23" s="8"/>
      <c r="I23" s="46"/>
      <c r="J23" s="1"/>
      <c r="K23" s="34"/>
      <c r="L23" s="11"/>
      <c r="M23" s="47"/>
      <c r="N23" s="33"/>
      <c r="O23" s="32"/>
      <c r="P23" s="34"/>
    </row>
    <row r="24" spans="1:16" ht="12.75">
      <c r="A24" s="31"/>
      <c r="B24" s="32"/>
      <c r="C24" s="32"/>
      <c r="D24" s="45"/>
      <c r="E24" s="45"/>
      <c r="F24" s="8"/>
      <c r="G24" s="8"/>
      <c r="H24" s="8"/>
      <c r="I24" s="46"/>
      <c r="J24" s="1"/>
      <c r="K24" s="34"/>
      <c r="L24" s="11"/>
      <c r="M24" s="47"/>
      <c r="N24" s="33"/>
      <c r="O24" s="32"/>
      <c r="P24" s="34"/>
    </row>
    <row r="25" spans="2:16" ht="12.75">
      <c r="B25" s="1"/>
      <c r="C25" s="1"/>
      <c r="D25" s="48"/>
      <c r="E25" s="48"/>
      <c r="F25" s="8"/>
      <c r="G25" s="8"/>
      <c r="H25" s="8"/>
      <c r="I25" s="46"/>
      <c r="J25" s="1"/>
      <c r="K25" s="1"/>
      <c r="L25" s="49"/>
      <c r="M25" s="47"/>
      <c r="N25" s="33"/>
      <c r="O25" s="32"/>
      <c r="P25" s="34"/>
    </row>
    <row r="26" spans="14:16" ht="12.75">
      <c r="N26" s="33"/>
      <c r="O26" s="32"/>
      <c r="P26" s="34"/>
    </row>
    <row r="27" spans="1:16" ht="12.75">
      <c r="A27" s="38"/>
      <c r="B27" s="37"/>
      <c r="C27" s="39"/>
      <c r="D27" s="39"/>
      <c r="E27" s="39"/>
      <c r="F27" s="40"/>
      <c r="G27" s="40"/>
      <c r="H27" s="40"/>
      <c r="I27" s="41"/>
      <c r="J27" s="34"/>
      <c r="K27" s="33"/>
      <c r="L27" s="32"/>
      <c r="M27" s="34"/>
      <c r="N27" s="33"/>
      <c r="O27" s="32"/>
      <c r="P27" s="34"/>
    </row>
    <row r="28" spans="1:16" ht="12.75">
      <c r="A28" s="38"/>
      <c r="B28" s="37"/>
      <c r="C28" s="42"/>
      <c r="D28" s="42"/>
      <c r="E28" s="42"/>
      <c r="F28" s="41"/>
      <c r="G28" s="41"/>
      <c r="H28" s="41"/>
      <c r="I28" s="42"/>
      <c r="J28" s="34"/>
      <c r="K28" s="36"/>
      <c r="L28" s="35"/>
      <c r="M28" s="34"/>
      <c r="N28" s="36"/>
      <c r="O28" s="35"/>
      <c r="P28" s="34"/>
    </row>
    <row r="29" spans="1:16" ht="12.75">
      <c r="A29" s="37"/>
      <c r="B29" s="37"/>
      <c r="C29" s="42"/>
      <c r="D29" s="42"/>
      <c r="E29" s="42"/>
      <c r="F29" s="41"/>
      <c r="G29" s="41"/>
      <c r="H29" s="41"/>
      <c r="I29" s="42"/>
      <c r="J29" s="34"/>
      <c r="K29" s="36"/>
      <c r="L29" s="35"/>
      <c r="M29" s="34"/>
      <c r="N29" s="36"/>
      <c r="O29" s="35"/>
      <c r="P29" s="34"/>
    </row>
    <row r="30" spans="1:16" ht="12.75">
      <c r="A30" s="112"/>
      <c r="B30" s="112"/>
      <c r="C30" s="32"/>
      <c r="D30" s="32"/>
      <c r="E30" s="32"/>
      <c r="F30" s="37"/>
      <c r="G30" s="37"/>
      <c r="H30" s="37"/>
      <c r="I30" s="32"/>
      <c r="J30" s="32"/>
      <c r="K30" s="31"/>
      <c r="L30" s="32"/>
      <c r="M30" s="32"/>
      <c r="N30" s="31"/>
      <c r="O30" s="32"/>
      <c r="P30" s="32"/>
    </row>
    <row r="31" spans="1:16" ht="12.75">
      <c r="A31" s="4"/>
      <c r="B31" s="4"/>
      <c r="P31" s="1"/>
    </row>
  </sheetData>
  <sheetProtection/>
  <mergeCells count="6">
    <mergeCell ref="R1:V1"/>
    <mergeCell ref="A30:B30"/>
    <mergeCell ref="F1:J1"/>
    <mergeCell ref="L1:P1"/>
    <mergeCell ref="A3:A10"/>
    <mergeCell ref="A11:A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1.00390625" style="0" customWidth="1"/>
    <col min="4" max="4" width="11.7109375" style="0" customWidth="1"/>
    <col min="5" max="5" width="5.421875" style="0" customWidth="1"/>
    <col min="7" max="7" width="12.140625" style="0" customWidth="1"/>
    <col min="8" max="8" width="11.140625" style="0" customWidth="1"/>
    <col min="9" max="9" width="10.28125" style="0" customWidth="1"/>
    <col min="11" max="11" width="6.140625" style="0" customWidth="1"/>
    <col min="13" max="13" width="12.00390625" style="0" customWidth="1"/>
    <col min="14" max="14" width="12.140625" style="0" customWidth="1"/>
    <col min="15" max="15" width="4.421875" style="0" customWidth="1"/>
    <col min="16" max="16" width="10.28125" style="0" customWidth="1"/>
    <col min="18" max="18" width="6.140625" style="0" customWidth="1"/>
    <col min="21" max="21" width="13.8515625" style="0" customWidth="1"/>
    <col min="22" max="22" width="11.140625" style="0" customWidth="1"/>
  </cols>
  <sheetData>
    <row r="1" spans="6:23" ht="18">
      <c r="F1" s="113" t="s">
        <v>65</v>
      </c>
      <c r="G1" s="114"/>
      <c r="H1" s="114"/>
      <c r="I1" s="114"/>
      <c r="J1" s="114"/>
      <c r="L1" s="113" t="s">
        <v>66</v>
      </c>
      <c r="M1" s="113"/>
      <c r="N1" s="113"/>
      <c r="O1" s="113"/>
      <c r="P1" s="113"/>
      <c r="Q1" s="113"/>
      <c r="S1" s="113" t="s">
        <v>106</v>
      </c>
      <c r="T1" s="114"/>
      <c r="U1" s="114"/>
      <c r="V1" s="114"/>
      <c r="W1" s="114"/>
    </row>
    <row r="2" spans="1:23" ht="127.5">
      <c r="A2" s="86"/>
      <c r="B2" s="31"/>
      <c r="C2" s="86"/>
      <c r="D2" s="86" t="s">
        <v>132</v>
      </c>
      <c r="E2" s="86"/>
      <c r="F2" s="86" t="s">
        <v>70</v>
      </c>
      <c r="G2" s="86" t="s">
        <v>63</v>
      </c>
      <c r="H2" s="92" t="s">
        <v>64</v>
      </c>
      <c r="I2" s="86" t="s">
        <v>158</v>
      </c>
      <c r="J2" s="86" t="s">
        <v>159</v>
      </c>
      <c r="K2" s="53"/>
      <c r="L2" s="86" t="s">
        <v>72</v>
      </c>
      <c r="M2" s="86" t="s">
        <v>63</v>
      </c>
      <c r="N2" s="92" t="s">
        <v>64</v>
      </c>
      <c r="O2" s="92"/>
      <c r="P2" s="86" t="s">
        <v>160</v>
      </c>
      <c r="Q2" s="86" t="s">
        <v>161</v>
      </c>
      <c r="R2" s="53"/>
      <c r="S2" s="86" t="s">
        <v>74</v>
      </c>
      <c r="T2" s="86" t="s">
        <v>63</v>
      </c>
      <c r="U2" s="92" t="s">
        <v>64</v>
      </c>
      <c r="V2" s="86" t="s">
        <v>162</v>
      </c>
      <c r="W2" s="86" t="s">
        <v>163</v>
      </c>
    </row>
    <row r="3" spans="1:23" ht="12.75">
      <c r="A3" s="103" t="s">
        <v>54</v>
      </c>
      <c r="B3" s="53" t="s">
        <v>115</v>
      </c>
      <c r="C3" s="32"/>
      <c r="D3" s="32">
        <f>+'Baseline PT student FTE'!H10</f>
        <v>5533.725399320996</v>
      </c>
      <c r="E3" s="32"/>
      <c r="F3" s="33">
        <f>+'Population extract'!E8/'Population extract'!D8-1</f>
        <v>0.013056547059928647</v>
      </c>
      <c r="G3" s="33">
        <v>0</v>
      </c>
      <c r="H3" s="33">
        <f>(1+F3)*(1+G3)-1</f>
        <v>0.013056547059928647</v>
      </c>
      <c r="I3" s="34">
        <f aca="true" t="shared" si="0" ref="I3:I18">+$D3*H3</f>
        <v>72.25134609295704</v>
      </c>
      <c r="J3" s="34">
        <f aca="true" t="shared" si="1" ref="J3:J18">+I3+$D3</f>
        <v>5605.976745413953</v>
      </c>
      <c r="K3" s="53"/>
      <c r="L3" s="93">
        <f>+'Population extract'!F8/'Population extract'!D8-1</f>
        <v>-0.1290625587074956</v>
      </c>
      <c r="M3" s="93">
        <v>0</v>
      </c>
      <c r="N3" s="33">
        <f>(1+L3)*(1+M3)-1</f>
        <v>-0.1290625587074956</v>
      </c>
      <c r="O3" s="33"/>
      <c r="P3" s="34">
        <f aca="true" t="shared" si="2" ref="P3:P18">+$D3*N3</f>
        <v>-714.1967592210257</v>
      </c>
      <c r="Q3" s="34">
        <f aca="true" t="shared" si="3" ref="Q3:Q18">+P3+$D3</f>
        <v>4819.52864009997</v>
      </c>
      <c r="R3" s="53"/>
      <c r="S3" s="33">
        <f>+'Population extract'!G8/'Population extract'!D8-1</f>
        <v>0.019631786586511435</v>
      </c>
      <c r="T3" s="50">
        <v>0</v>
      </c>
      <c r="U3" s="33">
        <f>(1+S3)*(1+T3)-1</f>
        <v>0.019631786586511435</v>
      </c>
      <c r="V3" s="34">
        <f aca="true" t="shared" si="4" ref="V3:V18">+$D3*U3</f>
        <v>108.63691606782757</v>
      </c>
      <c r="W3" s="34">
        <f aca="true" t="shared" si="5" ref="W3:W18">+V3+$D3</f>
        <v>5642.362315388824</v>
      </c>
    </row>
    <row r="4" spans="1:25" ht="12.75">
      <c r="A4" s="103"/>
      <c r="B4" s="53" t="s">
        <v>116</v>
      </c>
      <c r="C4" s="32"/>
      <c r="D4" s="32">
        <f>+'Baseline PT student FTE'!H11</f>
        <v>11078.242532188968</v>
      </c>
      <c r="E4" s="32"/>
      <c r="F4" s="33">
        <f>+'Population extract'!E9/'Population extract'!D9-1</f>
        <v>0.059561348188634566</v>
      </c>
      <c r="G4" s="33">
        <f>+G3</f>
        <v>0</v>
      </c>
      <c r="H4" s="33">
        <f aca="true" t="shared" si="6" ref="H4:H18">(1+F4)*(1+G4)-1</f>
        <v>0.059561348188634566</v>
      </c>
      <c r="I4" s="34">
        <f t="shared" si="0"/>
        <v>659.8350607778477</v>
      </c>
      <c r="J4" s="34">
        <f t="shared" si="1"/>
        <v>11738.077592966816</v>
      </c>
      <c r="K4" s="53"/>
      <c r="L4" s="93">
        <f>+'Population extract'!F9/'Population extract'!D9-1</f>
        <v>-0.008829093966785773</v>
      </c>
      <c r="M4" s="93">
        <v>0</v>
      </c>
      <c r="N4" s="33">
        <f aca="true" t="shared" si="7" ref="N4:N18">(1+L4)*(1+M4)-1</f>
        <v>-0.008829093966785773</v>
      </c>
      <c r="O4" s="33"/>
      <c r="P4" s="34">
        <f t="shared" si="2"/>
        <v>-97.81084430353916</v>
      </c>
      <c r="Q4" s="34">
        <f t="shared" si="3"/>
        <v>10980.431687885428</v>
      </c>
      <c r="R4" s="53"/>
      <c r="S4" s="33">
        <f>+'Population extract'!G9/'Population extract'!D9-1</f>
        <v>0.024385116670170515</v>
      </c>
      <c r="T4" s="50">
        <v>0</v>
      </c>
      <c r="U4" s="33">
        <f aca="true" t="shared" si="8" ref="U4:U18">(1+S4)*(1+T4)-1</f>
        <v>0.024385116670170515</v>
      </c>
      <c r="V4" s="34">
        <f t="shared" si="4"/>
        <v>270.1442366478732</v>
      </c>
      <c r="W4" s="34">
        <f t="shared" si="5"/>
        <v>11348.386768836841</v>
      </c>
      <c r="X4" s="1"/>
      <c r="Y4" s="1"/>
    </row>
    <row r="5" spans="1:26" ht="12.75">
      <c r="A5" s="103"/>
      <c r="B5" s="53" t="s">
        <v>117</v>
      </c>
      <c r="C5" s="32"/>
      <c r="D5" s="32">
        <f>+'Baseline PT student FTE'!H12</f>
        <v>10184.65535301099</v>
      </c>
      <c r="E5" s="32"/>
      <c r="F5" s="33">
        <f>+'Population extract'!E10/'Population extract'!D10-1</f>
        <v>0.0998002819548871</v>
      </c>
      <c r="G5" s="33">
        <v>0</v>
      </c>
      <c r="H5" s="33">
        <f t="shared" si="6"/>
        <v>0.0998002819548871</v>
      </c>
      <c r="I5" s="34">
        <f t="shared" si="0"/>
        <v>1016.4314758438471</v>
      </c>
      <c r="J5" s="34">
        <f t="shared" si="1"/>
        <v>11201.086828854837</v>
      </c>
      <c r="K5" s="53"/>
      <c r="L5" s="93">
        <f>+'Population extract'!F10/'Population extract'!D10-1</f>
        <v>0.18056860902255645</v>
      </c>
      <c r="M5" s="93">
        <v>0</v>
      </c>
      <c r="N5" s="33">
        <f t="shared" si="7"/>
        <v>0.18056860902255645</v>
      </c>
      <c r="O5" s="33"/>
      <c r="P5" s="34">
        <f t="shared" si="2"/>
        <v>1839.0290504673283</v>
      </c>
      <c r="Q5" s="34">
        <f t="shared" si="3"/>
        <v>12023.684403478319</v>
      </c>
      <c r="R5" s="53"/>
      <c r="S5" s="33">
        <f>+'Population extract'!G10/'Population extract'!D10-1</f>
        <v>0.08176691729323315</v>
      </c>
      <c r="T5" s="50">
        <v>0</v>
      </c>
      <c r="U5" s="33">
        <f t="shared" si="8"/>
        <v>0.08176691729323315</v>
      </c>
      <c r="V5" s="34">
        <f t="shared" si="4"/>
        <v>832.767871909734</v>
      </c>
      <c r="W5" s="34">
        <f t="shared" si="5"/>
        <v>11017.423224920725</v>
      </c>
      <c r="Z5" s="16" t="s">
        <v>60</v>
      </c>
    </row>
    <row r="6" spans="1:23" ht="12.75">
      <c r="A6" s="103"/>
      <c r="B6" s="53" t="s">
        <v>118</v>
      </c>
      <c r="C6" s="32"/>
      <c r="D6" s="32">
        <f>+'Baseline PT student FTE'!H13</f>
        <v>8295.208801806595</v>
      </c>
      <c r="E6" s="32"/>
      <c r="F6" s="33">
        <f>+'Population extract'!E11/'Population extract'!D11-1</f>
        <v>0.006639304683727865</v>
      </c>
      <c r="G6" s="33">
        <v>0</v>
      </c>
      <c r="H6" s="33">
        <f t="shared" si="6"/>
        <v>0.006639304683727865</v>
      </c>
      <c r="I6" s="34">
        <f t="shared" si="0"/>
        <v>55.07441865033513</v>
      </c>
      <c r="J6" s="34">
        <f t="shared" si="1"/>
        <v>8350.28322045693</v>
      </c>
      <c r="K6" s="53"/>
      <c r="L6" s="93">
        <f>+'Population extract'!F11/'Population extract'!D11-1</f>
        <v>0.26635683244809294</v>
      </c>
      <c r="M6" s="93">
        <v>0</v>
      </c>
      <c r="N6" s="33">
        <f t="shared" si="7"/>
        <v>0.26635683244809294</v>
      </c>
      <c r="O6" s="33"/>
      <c r="P6" s="34">
        <f t="shared" si="2"/>
        <v>2209.485540944745</v>
      </c>
      <c r="Q6" s="34">
        <f t="shared" si="3"/>
        <v>10504.69434275134</v>
      </c>
      <c r="R6" s="53"/>
      <c r="S6" s="33">
        <f>+'Population extract'!G11/'Population extract'!D11-1</f>
        <v>0.20376629647513278</v>
      </c>
      <c r="T6" s="50">
        <v>0</v>
      </c>
      <c r="U6" s="33">
        <f t="shared" si="8"/>
        <v>0.20376629647513278</v>
      </c>
      <c r="V6" s="34">
        <f t="shared" si="4"/>
        <v>1690.2839760320537</v>
      </c>
      <c r="W6" s="34">
        <f t="shared" si="5"/>
        <v>9985.492777838648</v>
      </c>
    </row>
    <row r="7" spans="1:23" ht="12.75">
      <c r="A7" s="103"/>
      <c r="B7" s="53" t="s">
        <v>119</v>
      </c>
      <c r="C7" s="32"/>
      <c r="D7" s="32">
        <f>+'Baseline PT student FTE'!H14</f>
        <v>8343.025272305502</v>
      </c>
      <c r="E7" s="32"/>
      <c r="F7" s="33">
        <f>+'Population extract'!E12/'Population extract'!D12-1</f>
        <v>-0.0639240506329114</v>
      </c>
      <c r="G7" s="33">
        <v>0</v>
      </c>
      <c r="H7" s="33">
        <f t="shared" si="6"/>
        <v>-0.0639240506329114</v>
      </c>
      <c r="I7" s="34">
        <f t="shared" si="0"/>
        <v>-533.3199699385164</v>
      </c>
      <c r="J7" s="34">
        <f t="shared" si="1"/>
        <v>7809.705302366985</v>
      </c>
      <c r="K7" s="53"/>
      <c r="L7" s="93">
        <f>+'Population extract'!F12/'Population extract'!D12-1</f>
        <v>0.021677215189873422</v>
      </c>
      <c r="M7" s="93">
        <v>0</v>
      </c>
      <c r="N7" s="33">
        <f t="shared" si="7"/>
        <v>0.021677215189873422</v>
      </c>
      <c r="O7" s="33"/>
      <c r="P7" s="34">
        <f t="shared" si="2"/>
        <v>180.85355416231866</v>
      </c>
      <c r="Q7" s="34">
        <f t="shared" si="3"/>
        <v>8523.87882646782</v>
      </c>
      <c r="R7" s="53"/>
      <c r="S7" s="33">
        <f>+'Population extract'!G12/'Population extract'!D12-1</f>
        <v>0.11582278481012653</v>
      </c>
      <c r="T7" s="50">
        <v>0</v>
      </c>
      <c r="U7" s="33">
        <f t="shared" si="8"/>
        <v>0.11582278481012653</v>
      </c>
      <c r="V7" s="34">
        <f t="shared" si="4"/>
        <v>966.3124207796875</v>
      </c>
      <c r="W7" s="34">
        <f t="shared" si="5"/>
        <v>9309.33769308519</v>
      </c>
    </row>
    <row r="8" spans="1:23" ht="12.75">
      <c r="A8" s="103"/>
      <c r="B8" s="53" t="s">
        <v>120</v>
      </c>
      <c r="C8" s="32"/>
      <c r="D8" s="32">
        <f>+'Baseline PT student FTE'!H15</f>
        <v>11910.181178974375</v>
      </c>
      <c r="E8" s="32"/>
      <c r="F8" s="33">
        <f>+'Population extract'!E13/'Population extract'!D13-1</f>
        <v>0.028153545310867667</v>
      </c>
      <c r="G8" s="33">
        <v>0</v>
      </c>
      <c r="H8" s="33">
        <f t="shared" si="6"/>
        <v>0.028153545310867667</v>
      </c>
      <c r="I8" s="34">
        <f t="shared" si="0"/>
        <v>335.3138254828984</v>
      </c>
      <c r="J8" s="34">
        <f t="shared" si="1"/>
        <v>12245.495004457274</v>
      </c>
      <c r="K8" s="53"/>
      <c r="L8" s="93">
        <f>+'Population extract'!F13/'Population extract'!D13-1</f>
        <v>-0.08044252765797866</v>
      </c>
      <c r="M8" s="93">
        <v>0</v>
      </c>
      <c r="N8" s="33">
        <f t="shared" si="7"/>
        <v>-0.08044252765797866</v>
      </c>
      <c r="O8" s="33"/>
      <c r="P8" s="34">
        <f t="shared" si="2"/>
        <v>-958.085078901183</v>
      </c>
      <c r="Q8" s="34">
        <f t="shared" si="3"/>
        <v>10952.096100073191</v>
      </c>
      <c r="R8" s="53"/>
      <c r="S8" s="33">
        <f>+'Population extract'!G13/'Population extract'!D13-1</f>
        <v>0.039270311537328295</v>
      </c>
      <c r="T8" s="50">
        <v>0</v>
      </c>
      <c r="U8" s="33">
        <f t="shared" si="8"/>
        <v>0.039270311537328295</v>
      </c>
      <c r="V8" s="34">
        <f t="shared" si="4"/>
        <v>467.7165253643477</v>
      </c>
      <c r="W8" s="34">
        <f t="shared" si="5"/>
        <v>12377.897704338722</v>
      </c>
    </row>
    <row r="9" spans="1:23" ht="12.75">
      <c r="A9" s="103"/>
      <c r="B9" s="53" t="s">
        <v>121</v>
      </c>
      <c r="C9" s="32"/>
      <c r="D9" s="32">
        <f>+'Baseline PT student FTE'!H16</f>
        <v>5312.119963999868</v>
      </c>
      <c r="E9" s="32"/>
      <c r="F9" s="33">
        <f>+'Population extract'!E14/'Population extract'!D14-1</f>
        <v>0.01314116150911393</v>
      </c>
      <c r="G9" s="33">
        <v>0</v>
      </c>
      <c r="H9" s="33">
        <f t="shared" si="6"/>
        <v>0.01314116150911393</v>
      </c>
      <c r="I9" s="34">
        <f t="shared" si="0"/>
        <v>69.80742640271073</v>
      </c>
      <c r="J9" s="34">
        <f t="shared" si="1"/>
        <v>5381.927390402579</v>
      </c>
      <c r="K9" s="53"/>
      <c r="L9" s="93">
        <f>+'Population extract'!F14/'Population extract'!D14-1</f>
        <v>0.20266084064303658</v>
      </c>
      <c r="M9" s="93">
        <v>0</v>
      </c>
      <c r="N9" s="33">
        <f t="shared" si="7"/>
        <v>0.20266084064303658</v>
      </c>
      <c r="O9" s="33"/>
      <c r="P9" s="34">
        <f t="shared" si="2"/>
        <v>1076.5586975008703</v>
      </c>
      <c r="Q9" s="34">
        <f t="shared" si="3"/>
        <v>6388.678661500738</v>
      </c>
      <c r="R9" s="53"/>
      <c r="S9" s="33">
        <f>+'Population extract'!G14/'Population extract'!D14-1</f>
        <v>0.0934555059184139</v>
      </c>
      <c r="T9" s="50">
        <v>0</v>
      </c>
      <c r="U9" s="33">
        <f t="shared" si="8"/>
        <v>0.0934555059184139</v>
      </c>
      <c r="V9" s="34">
        <f t="shared" si="4"/>
        <v>496.44685873491426</v>
      </c>
      <c r="W9" s="34">
        <f t="shared" si="5"/>
        <v>5808.566822734781</v>
      </c>
    </row>
    <row r="10" spans="1:23" ht="12.75">
      <c r="A10" s="103"/>
      <c r="B10" s="53" t="s">
        <v>122</v>
      </c>
      <c r="C10" s="32"/>
      <c r="D10" s="32">
        <f>+'Baseline PT student FTE'!H17</f>
        <v>3420.220385477389</v>
      </c>
      <c r="E10" s="32"/>
      <c r="F10" s="33">
        <f>+'Population extract'!E15/'Population extract'!D15-1</f>
        <v>0.06913070493676199</v>
      </c>
      <c r="G10" s="33">
        <v>0</v>
      </c>
      <c r="H10" s="33">
        <f t="shared" si="6"/>
        <v>0.06913070493676199</v>
      </c>
      <c r="I10" s="34">
        <f t="shared" si="0"/>
        <v>236.4422462871357</v>
      </c>
      <c r="J10" s="34">
        <f t="shared" si="1"/>
        <v>3656.6626317645246</v>
      </c>
      <c r="K10" s="53"/>
      <c r="L10" s="93">
        <f>+'Population extract'!F15/'Population extract'!D15-1</f>
        <v>0.2781664027580124</v>
      </c>
      <c r="M10" s="93">
        <v>0</v>
      </c>
      <c r="N10" s="33">
        <f t="shared" si="7"/>
        <v>0.2781664027580124</v>
      </c>
      <c r="O10" s="33"/>
      <c r="P10" s="34">
        <f t="shared" si="2"/>
        <v>951.3904012678678</v>
      </c>
      <c r="Q10" s="34">
        <f t="shared" si="3"/>
        <v>4371.6107867452565</v>
      </c>
      <c r="R10" s="53"/>
      <c r="S10" s="33">
        <f>+'Population extract'!G15/'Population extract'!D15-1</f>
        <v>0.5036178869936463</v>
      </c>
      <c r="T10" s="50">
        <v>0</v>
      </c>
      <c r="U10" s="33">
        <f t="shared" si="8"/>
        <v>0.5036178869936463</v>
      </c>
      <c r="V10" s="34">
        <f t="shared" si="4"/>
        <v>1722.484163586717</v>
      </c>
      <c r="W10" s="34">
        <f t="shared" si="5"/>
        <v>5142.704549064106</v>
      </c>
    </row>
    <row r="11" spans="1:23" ht="12.75">
      <c r="A11" s="103" t="s">
        <v>55</v>
      </c>
      <c r="B11" s="53" t="s">
        <v>115</v>
      </c>
      <c r="C11" s="32"/>
      <c r="D11" s="32">
        <f>+'Baseline PT student FTE'!H18</f>
        <v>4898.427459245514</v>
      </c>
      <c r="E11" s="32"/>
      <c r="F11" s="33">
        <f>+'Population extract'!E16/'Population extract'!D16-1</f>
        <v>0.011249497790277285</v>
      </c>
      <c r="G11" s="33">
        <v>0</v>
      </c>
      <c r="H11" s="33">
        <f t="shared" si="6"/>
        <v>0.011249497790277285</v>
      </c>
      <c r="I11" s="34">
        <f t="shared" si="0"/>
        <v>55.10484887861599</v>
      </c>
      <c r="J11" s="34">
        <f t="shared" si="1"/>
        <v>4953.53230812413</v>
      </c>
      <c r="K11" s="53"/>
      <c r="L11" s="93">
        <f>+'Population extract'!F16/'Population extract'!D16-1</f>
        <v>-0.1324829248694256</v>
      </c>
      <c r="M11" s="93">
        <v>0</v>
      </c>
      <c r="N11" s="33">
        <f t="shared" si="7"/>
        <v>-0.1324829248694256</v>
      </c>
      <c r="O11" s="33"/>
      <c r="P11" s="34">
        <f t="shared" si="2"/>
        <v>-648.9579970615547</v>
      </c>
      <c r="Q11" s="34">
        <f t="shared" si="3"/>
        <v>4249.469462183959</v>
      </c>
      <c r="R11" s="53"/>
      <c r="S11" s="33">
        <f>+'Population extract'!G16/'Population extract'!D16-1</f>
        <v>0.023202089192446707</v>
      </c>
      <c r="T11" s="50">
        <v>0</v>
      </c>
      <c r="U11" s="33">
        <f t="shared" si="8"/>
        <v>0.023202089192446707</v>
      </c>
      <c r="V11" s="34">
        <f t="shared" si="4"/>
        <v>113.65375081214452</v>
      </c>
      <c r="W11" s="34">
        <f t="shared" si="5"/>
        <v>5012.081210057659</v>
      </c>
    </row>
    <row r="12" spans="1:23" ht="12.75">
      <c r="A12" s="103"/>
      <c r="B12" s="53" t="s">
        <v>116</v>
      </c>
      <c r="C12" s="32"/>
      <c r="D12" s="32">
        <f>+'Baseline PT student FTE'!H19</f>
        <v>12940.301150652189</v>
      </c>
      <c r="E12" s="32"/>
      <c r="F12" s="33">
        <f>+'Population extract'!E17/'Population extract'!D17-1</f>
        <v>0.049389002036659635</v>
      </c>
      <c r="G12" s="33">
        <v>0</v>
      </c>
      <c r="H12" s="33">
        <f t="shared" si="6"/>
        <v>0.049389002036659635</v>
      </c>
      <c r="I12" s="34">
        <f t="shared" si="0"/>
        <v>639.10855988455</v>
      </c>
      <c r="J12" s="34">
        <f t="shared" si="1"/>
        <v>13579.409710536738</v>
      </c>
      <c r="K12" s="53"/>
      <c r="L12" s="93">
        <f>+'Population extract'!F17/'Population extract'!D17-1</f>
        <v>-0.02582193773639818</v>
      </c>
      <c r="M12" s="93">
        <v>0</v>
      </c>
      <c r="N12" s="33">
        <f t="shared" si="7"/>
        <v>-0.02582193773639818</v>
      </c>
      <c r="O12" s="33"/>
      <c r="P12" s="34">
        <f t="shared" si="2"/>
        <v>-334.1436506023826</v>
      </c>
      <c r="Q12" s="34">
        <f t="shared" si="3"/>
        <v>12606.157500049807</v>
      </c>
      <c r="R12" s="53"/>
      <c r="S12" s="33">
        <f>+'Population extract'!G17/'Population extract'!D17-1</f>
        <v>0.00945592086121616</v>
      </c>
      <c r="T12" s="50">
        <v>0</v>
      </c>
      <c r="U12" s="33">
        <f t="shared" si="8"/>
        <v>0.00945592086121616</v>
      </c>
      <c r="V12" s="34">
        <f t="shared" si="4"/>
        <v>122.36246360087152</v>
      </c>
      <c r="W12" s="34">
        <f t="shared" si="5"/>
        <v>13062.66361425306</v>
      </c>
    </row>
    <row r="13" spans="1:23" ht="12.75" customHeight="1">
      <c r="A13" s="103"/>
      <c r="B13" s="53" t="s">
        <v>117</v>
      </c>
      <c r="C13" s="32"/>
      <c r="D13" s="32">
        <f>+'Baseline PT student FTE'!H20</f>
        <v>16949.104809504734</v>
      </c>
      <c r="E13" s="32"/>
      <c r="F13" s="33">
        <f>+'Population extract'!E18/'Population extract'!D18-1</f>
        <v>0.07898149239655794</v>
      </c>
      <c r="G13" s="33">
        <v>0</v>
      </c>
      <c r="H13" s="33">
        <f t="shared" si="6"/>
        <v>0.07898149239655794</v>
      </c>
      <c r="I13" s="34">
        <f t="shared" si="0"/>
        <v>1338.6655926403616</v>
      </c>
      <c r="J13" s="34">
        <f t="shared" si="1"/>
        <v>18287.770402145095</v>
      </c>
      <c r="K13" s="53"/>
      <c r="L13" s="93">
        <f>+'Population extract'!F18/'Population extract'!D18-1</f>
        <v>0.13226452905811636</v>
      </c>
      <c r="M13" s="93">
        <v>0</v>
      </c>
      <c r="N13" s="33">
        <f t="shared" si="7"/>
        <v>0.13226452905811636</v>
      </c>
      <c r="O13" s="33"/>
      <c r="P13" s="34">
        <f t="shared" si="2"/>
        <v>2241.7653655857985</v>
      </c>
      <c r="Q13" s="34">
        <f t="shared" si="3"/>
        <v>19190.87017509053</v>
      </c>
      <c r="R13" s="53"/>
      <c r="S13" s="33">
        <f>+'Population extract'!G18/'Population extract'!D18-1</f>
        <v>0.03860662501473544</v>
      </c>
      <c r="T13" s="50">
        <v>0</v>
      </c>
      <c r="U13" s="33">
        <f t="shared" si="8"/>
        <v>0.03860662501473544</v>
      </c>
      <c r="V13" s="34">
        <f t="shared" si="4"/>
        <v>654.3477337159982</v>
      </c>
      <c r="W13" s="34">
        <f t="shared" si="5"/>
        <v>17603.45254322073</v>
      </c>
    </row>
    <row r="14" spans="1:23" ht="12.75">
      <c r="A14" s="103"/>
      <c r="B14" s="53" t="s">
        <v>118</v>
      </c>
      <c r="C14" s="53"/>
      <c r="D14" s="32">
        <f>+'Baseline PT student FTE'!H21</f>
        <v>14651.017385754485</v>
      </c>
      <c r="E14" s="53"/>
      <c r="F14" s="33">
        <f>+'Population extract'!E19/'Population extract'!D19-1</f>
        <v>0.011874623267028372</v>
      </c>
      <c r="G14" s="33">
        <v>0</v>
      </c>
      <c r="H14" s="33">
        <f t="shared" si="6"/>
        <v>0.011874623267028372</v>
      </c>
      <c r="I14" s="34">
        <f t="shared" si="0"/>
        <v>173.9753119345174</v>
      </c>
      <c r="J14" s="34">
        <f t="shared" si="1"/>
        <v>14824.992697689002</v>
      </c>
      <c r="K14" s="53"/>
      <c r="L14" s="93">
        <f>+'Population extract'!F19/'Population extract'!D19-1</f>
        <v>0.2275467148884871</v>
      </c>
      <c r="M14" s="93">
        <v>0</v>
      </c>
      <c r="N14" s="33">
        <f t="shared" si="7"/>
        <v>0.2275467148884871</v>
      </c>
      <c r="O14" s="33"/>
      <c r="P14" s="34">
        <f t="shared" si="2"/>
        <v>3333.7908759025436</v>
      </c>
      <c r="Q14" s="34">
        <f t="shared" si="3"/>
        <v>17984.80826165703</v>
      </c>
      <c r="R14" s="53"/>
      <c r="S14" s="33">
        <f>+'Population extract'!G19/'Population extract'!D19-1</f>
        <v>0.16015672091621447</v>
      </c>
      <c r="T14" s="50">
        <v>0</v>
      </c>
      <c r="U14" s="33">
        <f t="shared" si="8"/>
        <v>0.16015672091621447</v>
      </c>
      <c r="V14" s="34">
        <f t="shared" si="4"/>
        <v>2346.458902588887</v>
      </c>
      <c r="W14" s="34">
        <f t="shared" si="5"/>
        <v>16997.476288343372</v>
      </c>
    </row>
    <row r="15" spans="1:23" ht="12.75">
      <c r="A15" s="103"/>
      <c r="B15" s="53" t="s">
        <v>119</v>
      </c>
      <c r="C15" s="53"/>
      <c r="D15" s="32">
        <f>+'Baseline PT student FTE'!H22</f>
        <v>16151.958535105607</v>
      </c>
      <c r="E15" s="53"/>
      <c r="F15" s="33">
        <f>+'Population extract'!E20/'Population extract'!D20-1</f>
        <v>-0.06604757929883154</v>
      </c>
      <c r="G15" s="33">
        <v>0</v>
      </c>
      <c r="H15" s="33">
        <f t="shared" si="6"/>
        <v>-0.06604757929883154</v>
      </c>
      <c r="I15" s="34">
        <f t="shared" si="0"/>
        <v>-1066.7977621788264</v>
      </c>
      <c r="J15" s="34">
        <f t="shared" si="1"/>
        <v>15085.16077292678</v>
      </c>
      <c r="K15" s="53"/>
      <c r="L15" s="93">
        <f>+'Population extract'!F20/'Population extract'!D20-1</f>
        <v>-0.0011477462437397001</v>
      </c>
      <c r="M15" s="93">
        <v>0</v>
      </c>
      <c r="N15" s="33">
        <f t="shared" si="7"/>
        <v>-0.0011477462437397001</v>
      </c>
      <c r="O15" s="33"/>
      <c r="P15" s="34">
        <f t="shared" si="2"/>
        <v>-18.53834973770685</v>
      </c>
      <c r="Q15" s="34">
        <f t="shared" si="3"/>
        <v>16133.4201853679</v>
      </c>
      <c r="R15" s="53"/>
      <c r="S15" s="33">
        <f>+'Population extract'!G20/'Population extract'!D20-1</f>
        <v>0.06818656093489128</v>
      </c>
      <c r="T15" s="50">
        <v>0</v>
      </c>
      <c r="U15" s="33">
        <f t="shared" si="8"/>
        <v>0.06818656093489128</v>
      </c>
      <c r="V15" s="34">
        <f t="shared" si="4"/>
        <v>1101.3465048718158</v>
      </c>
      <c r="W15" s="34">
        <f t="shared" si="5"/>
        <v>17253.305039977422</v>
      </c>
    </row>
    <row r="16" spans="1:23" ht="12.75">
      <c r="A16" s="103"/>
      <c r="B16" s="53" t="s">
        <v>120</v>
      </c>
      <c r="C16" s="53"/>
      <c r="D16" s="32">
        <f>+'Baseline PT student FTE'!H23</f>
        <v>27130.899050542943</v>
      </c>
      <c r="E16" s="53"/>
      <c r="F16" s="33">
        <f>+'Population extract'!E21/'Population extract'!D21-1</f>
        <v>0.028027498677948293</v>
      </c>
      <c r="G16" s="33">
        <v>0</v>
      </c>
      <c r="H16" s="33">
        <f t="shared" si="6"/>
        <v>0.028027498677948293</v>
      </c>
      <c r="I16" s="34">
        <f t="shared" si="0"/>
        <v>760.4112372706409</v>
      </c>
      <c r="J16" s="34">
        <f t="shared" si="1"/>
        <v>27891.310287813583</v>
      </c>
      <c r="K16" s="53"/>
      <c r="L16" s="93">
        <f>+'Population extract'!F21/'Population extract'!D21-1</f>
        <v>-0.08276044420941309</v>
      </c>
      <c r="M16" s="93">
        <v>0</v>
      </c>
      <c r="N16" s="33">
        <f t="shared" si="7"/>
        <v>-0.08276044420941309</v>
      </c>
      <c r="O16" s="33"/>
      <c r="P16" s="34">
        <f t="shared" si="2"/>
        <v>-2245.365257223678</v>
      </c>
      <c r="Q16" s="34">
        <f t="shared" si="3"/>
        <v>24885.533793319264</v>
      </c>
      <c r="R16" s="53"/>
      <c r="S16" s="33">
        <f>+'Population extract'!G21/'Population extract'!D21-1</f>
        <v>0.015415124272871283</v>
      </c>
      <c r="T16" s="50">
        <v>0</v>
      </c>
      <c r="U16" s="33">
        <f t="shared" si="8"/>
        <v>0.015415124272871283</v>
      </c>
      <c r="V16" s="34">
        <f t="shared" si="4"/>
        <v>418.226180498845</v>
      </c>
      <c r="W16" s="34">
        <f t="shared" si="5"/>
        <v>27549.125231041788</v>
      </c>
    </row>
    <row r="17" spans="1:23" ht="12.75">
      <c r="A17" s="103"/>
      <c r="B17" s="53" t="s">
        <v>121</v>
      </c>
      <c r="C17" s="53"/>
      <c r="D17" s="32">
        <f>+'Baseline PT student FTE'!H24</f>
        <v>9803.08483413196</v>
      </c>
      <c r="E17" s="53"/>
      <c r="F17" s="33">
        <f>+'Population extract'!E22/'Population extract'!D22-1</f>
        <v>0.010368956743002755</v>
      </c>
      <c r="G17" s="33">
        <v>0</v>
      </c>
      <c r="H17" s="33">
        <f t="shared" si="6"/>
        <v>0.010368956743002755</v>
      </c>
      <c r="I17" s="34">
        <f t="shared" si="0"/>
        <v>101.64776259310062</v>
      </c>
      <c r="J17" s="34">
        <f t="shared" si="1"/>
        <v>9904.73259672506</v>
      </c>
      <c r="K17" s="53"/>
      <c r="L17" s="93">
        <f>+'Population extract'!F22/'Population extract'!D22-1</f>
        <v>0.20254452926208666</v>
      </c>
      <c r="M17" s="93">
        <v>0</v>
      </c>
      <c r="N17" s="33">
        <f t="shared" si="7"/>
        <v>0.20254452926208666</v>
      </c>
      <c r="O17" s="33"/>
      <c r="P17" s="34">
        <f t="shared" si="2"/>
        <v>1985.5612030455586</v>
      </c>
      <c r="Q17" s="34">
        <f t="shared" si="3"/>
        <v>11788.646037177517</v>
      </c>
      <c r="R17" s="53"/>
      <c r="S17" s="33">
        <f>+'Population extract'!G22/'Population extract'!D22-1</f>
        <v>0.09013994910941481</v>
      </c>
      <c r="T17" s="50">
        <v>0</v>
      </c>
      <c r="U17" s="33">
        <f t="shared" si="8"/>
        <v>0.09013994910941481</v>
      </c>
      <c r="V17" s="34">
        <f t="shared" si="4"/>
        <v>883.6495680639309</v>
      </c>
      <c r="W17" s="34">
        <f t="shared" si="5"/>
        <v>10686.73440219589</v>
      </c>
    </row>
    <row r="18" spans="1:23" ht="12.75">
      <c r="A18" s="103"/>
      <c r="B18" s="53" t="s">
        <v>122</v>
      </c>
      <c r="C18" s="53"/>
      <c r="D18" s="32">
        <f>+'Baseline PT student FTE'!H25</f>
        <v>4444.071389880818</v>
      </c>
      <c r="E18" s="53"/>
      <c r="F18" s="33">
        <f>+'Population extract'!E23/'Population extract'!D23-1</f>
        <v>0.0454753423314489</v>
      </c>
      <c r="G18" s="33">
        <v>0</v>
      </c>
      <c r="H18" s="33">
        <f t="shared" si="6"/>
        <v>0.0454753423314489</v>
      </c>
      <c r="I18" s="34">
        <f t="shared" si="0"/>
        <v>202.0956678002281</v>
      </c>
      <c r="J18" s="34">
        <f t="shared" si="1"/>
        <v>4646.167057681047</v>
      </c>
      <c r="K18" s="53"/>
      <c r="L18" s="93">
        <f>+'Population extract'!F23/'Population extract'!D23-1</f>
        <v>0.1963953070361779</v>
      </c>
      <c r="M18" s="93">
        <v>0</v>
      </c>
      <c r="N18" s="33">
        <f t="shared" si="7"/>
        <v>0.1963953070361779</v>
      </c>
      <c r="O18" s="33"/>
      <c r="P18" s="34">
        <f t="shared" si="2"/>
        <v>872.7947651063372</v>
      </c>
      <c r="Q18" s="34">
        <f t="shared" si="3"/>
        <v>5316.866154987155</v>
      </c>
      <c r="R18" s="53"/>
      <c r="S18" s="33">
        <f>+'Population extract'!G23/'Population extract'!D23-1</f>
        <v>0.3921043171345473</v>
      </c>
      <c r="T18" s="50">
        <v>0</v>
      </c>
      <c r="U18" s="33">
        <f t="shared" si="8"/>
        <v>0.3921043171345473</v>
      </c>
      <c r="V18" s="34">
        <f t="shared" si="4"/>
        <v>1742.5395776263967</v>
      </c>
      <c r="W18" s="34">
        <f t="shared" si="5"/>
        <v>6186.610967507215</v>
      </c>
    </row>
    <row r="19" spans="1:23" ht="12.75">
      <c r="A19" s="94" t="s">
        <v>123</v>
      </c>
      <c r="B19" s="94"/>
      <c r="C19" s="95"/>
      <c r="D19" s="95">
        <f>SUM(D3:D10)</f>
        <v>64077.37888708468</v>
      </c>
      <c r="E19" s="95"/>
      <c r="F19" s="95"/>
      <c r="G19" s="95"/>
      <c r="H19" s="95"/>
      <c r="I19" s="95">
        <f>SUM(I3:I10)</f>
        <v>1911.8358295992157</v>
      </c>
      <c r="J19" s="95">
        <f>SUM(J3:J10)</f>
        <v>65989.2147166839</v>
      </c>
      <c r="K19" s="95"/>
      <c r="L19" s="95"/>
      <c r="M19" s="95"/>
      <c r="N19" s="95"/>
      <c r="O19" s="95"/>
      <c r="P19" s="95">
        <f>SUM(P3:P10)</f>
        <v>4487.224561917382</v>
      </c>
      <c r="Q19" s="95">
        <f>SUM(Q3:Q10)</f>
        <v>68564.60344900207</v>
      </c>
      <c r="R19" s="95"/>
      <c r="S19" s="95"/>
      <c r="T19" s="95"/>
      <c r="U19" s="95"/>
      <c r="V19" s="95">
        <f>SUM(V3:V10)</f>
        <v>6554.792969123156</v>
      </c>
      <c r="W19" s="95">
        <f>SUM(W3:W10)</f>
        <v>70632.17185620783</v>
      </c>
    </row>
    <row r="20" spans="1:23" ht="12.75">
      <c r="A20" s="94" t="s">
        <v>124</v>
      </c>
      <c r="B20" s="94"/>
      <c r="C20" s="32"/>
      <c r="D20" s="32">
        <f>SUM(D11:D18)</f>
        <v>106968.86461481825</v>
      </c>
      <c r="E20" s="32"/>
      <c r="F20" s="32"/>
      <c r="G20" s="32"/>
      <c r="H20" s="32"/>
      <c r="I20" s="32">
        <f>SUM(I11:I18)</f>
        <v>2204.211218823188</v>
      </c>
      <c r="J20" s="32">
        <f>SUM(J11:J18)</f>
        <v>109173.07583364144</v>
      </c>
      <c r="K20" s="32"/>
      <c r="L20" s="32"/>
      <c r="M20" s="32"/>
      <c r="N20" s="32"/>
      <c r="O20" s="32"/>
      <c r="P20" s="32">
        <f>SUM(P11:P18)</f>
        <v>5186.906955014915</v>
      </c>
      <c r="Q20" s="32">
        <f>SUM(Q11:Q18)</f>
        <v>112155.77156983316</v>
      </c>
      <c r="R20" s="32"/>
      <c r="S20" s="32"/>
      <c r="T20" s="32"/>
      <c r="U20" s="32"/>
      <c r="V20" s="32">
        <f>SUM(V11:V18)</f>
        <v>7382.58468177889</v>
      </c>
      <c r="W20" s="32">
        <f>SUM(W11:W18)</f>
        <v>114351.44929659713</v>
      </c>
    </row>
    <row r="21" spans="1:23" ht="12.75">
      <c r="A21" s="94" t="s">
        <v>0</v>
      </c>
      <c r="B21" s="94"/>
      <c r="C21" s="32"/>
      <c r="D21" s="32">
        <f>SUM(D3:D18)</f>
        <v>171046.24350190294</v>
      </c>
      <c r="E21" s="32"/>
      <c r="F21" s="32"/>
      <c r="G21" s="32"/>
      <c r="H21" s="32"/>
      <c r="I21" s="32">
        <f>SUM(I3:I18)</f>
        <v>4116.047048422404</v>
      </c>
      <c r="J21" s="32">
        <f>SUM(J3:J18)</f>
        <v>175162.29055032533</v>
      </c>
      <c r="K21" s="32"/>
      <c r="L21" s="32"/>
      <c r="M21" s="32"/>
      <c r="N21" s="32"/>
      <c r="O21" s="32"/>
      <c r="P21" s="32">
        <f>SUM(P3:P18)</f>
        <v>9674.131516932299</v>
      </c>
      <c r="Q21" s="32">
        <f>SUM(Q3:Q18)</f>
        <v>180720.37501883527</v>
      </c>
      <c r="R21" s="32"/>
      <c r="S21" s="32"/>
      <c r="T21" s="32"/>
      <c r="U21" s="32"/>
      <c r="V21" s="32">
        <f>SUM(V3:V18)</f>
        <v>13937.377650902046</v>
      </c>
      <c r="W21" s="32">
        <f>SUM(W3:W18)</f>
        <v>184983.62115280496</v>
      </c>
    </row>
    <row r="22" spans="1:17" ht="12.75">
      <c r="A22" s="31"/>
      <c r="B22" s="30"/>
      <c r="C22" s="30"/>
      <c r="D22" s="82"/>
      <c r="E22" s="30"/>
      <c r="F22" s="30"/>
      <c r="G22" s="30"/>
      <c r="H22" s="30"/>
      <c r="I22" s="43"/>
      <c r="J22" s="30"/>
      <c r="K22" s="30"/>
      <c r="L22" s="30"/>
      <c r="M22" s="44"/>
      <c r="N22" s="33"/>
      <c r="O22" s="33"/>
      <c r="P22" s="32">
        <v>1.1088664421997756</v>
      </c>
      <c r="Q22" s="34"/>
    </row>
    <row r="23" spans="1:17" ht="12.75">
      <c r="A23" s="31"/>
      <c r="B23" s="32"/>
      <c r="C23" s="32"/>
      <c r="D23" s="45"/>
      <c r="E23" s="45"/>
      <c r="F23" s="8"/>
      <c r="G23" s="8"/>
      <c r="H23" s="8"/>
      <c r="I23" s="46"/>
      <c r="J23" s="1"/>
      <c r="K23" s="34"/>
      <c r="L23" s="11"/>
      <c r="M23" s="47"/>
      <c r="N23" s="33"/>
      <c r="O23" s="33"/>
      <c r="P23" s="32"/>
      <c r="Q23" s="34"/>
    </row>
    <row r="24" spans="1:17" ht="12.75">
      <c r="A24" s="31"/>
      <c r="B24" s="32"/>
      <c r="C24" s="32"/>
      <c r="D24" s="45"/>
      <c r="E24" s="45"/>
      <c r="F24" s="8"/>
      <c r="G24" s="8"/>
      <c r="H24" s="8"/>
      <c r="I24" s="46"/>
      <c r="J24" s="1"/>
      <c r="K24" s="34"/>
      <c r="L24" s="11"/>
      <c r="M24" s="47"/>
      <c r="N24" s="33"/>
      <c r="O24" s="33"/>
      <c r="P24" s="32"/>
      <c r="Q24" s="34"/>
    </row>
    <row r="25" spans="2:17" ht="12.75">
      <c r="B25" s="1"/>
      <c r="C25" s="1"/>
      <c r="D25" s="48"/>
      <c r="E25" s="48"/>
      <c r="F25" s="8"/>
      <c r="G25" s="8"/>
      <c r="H25" s="8"/>
      <c r="I25" s="46"/>
      <c r="J25" s="1"/>
      <c r="K25" s="1"/>
      <c r="L25" s="49"/>
      <c r="M25" s="47"/>
      <c r="N25" s="33"/>
      <c r="O25" s="33"/>
      <c r="P25" s="32"/>
      <c r="Q25" s="34"/>
    </row>
    <row r="26" spans="14:17" ht="12.75">
      <c r="N26" s="33"/>
      <c r="O26" s="33"/>
      <c r="P26" s="32"/>
      <c r="Q26" s="34"/>
    </row>
    <row r="27" spans="1:17" ht="12.75">
      <c r="A27" s="38"/>
      <c r="B27" s="37"/>
      <c r="C27" s="39"/>
      <c r="D27" s="39"/>
      <c r="E27" s="39"/>
      <c r="F27" s="40"/>
      <c r="G27" s="40"/>
      <c r="H27" s="40"/>
      <c r="I27" s="41"/>
      <c r="J27" s="34"/>
      <c r="K27" s="33"/>
      <c r="L27" s="32"/>
      <c r="M27" s="34"/>
      <c r="N27" s="33"/>
      <c r="O27" s="33"/>
      <c r="P27" s="32"/>
      <c r="Q27" s="34"/>
    </row>
    <row r="28" spans="1:17" ht="12.75">
      <c r="A28" s="38"/>
      <c r="B28" s="37"/>
      <c r="C28" s="42"/>
      <c r="D28" s="42"/>
      <c r="E28" s="42"/>
      <c r="F28" s="41"/>
      <c r="G28" s="41"/>
      <c r="H28" s="41"/>
      <c r="I28" s="42"/>
      <c r="J28" s="34"/>
      <c r="K28" s="36"/>
      <c r="L28" s="35"/>
      <c r="M28" s="34"/>
      <c r="N28" s="36"/>
      <c r="O28" s="36"/>
      <c r="P28" s="35"/>
      <c r="Q28" s="34"/>
    </row>
    <row r="29" spans="1:17" ht="12.75">
      <c r="A29" s="37"/>
      <c r="B29" s="37"/>
      <c r="C29" s="42"/>
      <c r="D29" s="42"/>
      <c r="E29" s="42"/>
      <c r="F29" s="41"/>
      <c r="G29" s="41"/>
      <c r="H29" s="41"/>
      <c r="I29" s="42"/>
      <c r="J29" s="34"/>
      <c r="K29" s="36"/>
      <c r="L29" s="35"/>
      <c r="M29" s="34"/>
      <c r="N29" s="36"/>
      <c r="O29" s="36"/>
      <c r="P29" s="35"/>
      <c r="Q29" s="34"/>
    </row>
    <row r="30" spans="1:17" ht="12.75">
      <c r="A30" s="112"/>
      <c r="B30" s="112"/>
      <c r="C30" s="32"/>
      <c r="D30" s="32"/>
      <c r="E30" s="32"/>
      <c r="F30" s="37"/>
      <c r="G30" s="37"/>
      <c r="H30" s="37"/>
      <c r="I30" s="32"/>
      <c r="J30" s="32"/>
      <c r="K30" s="31"/>
      <c r="L30" s="32"/>
      <c r="M30" s="32"/>
      <c r="N30" s="31"/>
      <c r="O30" s="31"/>
      <c r="P30" s="32"/>
      <c r="Q30" s="32"/>
    </row>
    <row r="31" spans="1:17" ht="12.75">
      <c r="A31" s="4"/>
      <c r="B31" s="4"/>
      <c r="Q31" s="1"/>
    </row>
  </sheetData>
  <sheetProtection/>
  <mergeCells count="6">
    <mergeCell ref="S1:W1"/>
    <mergeCell ref="A3:A10"/>
    <mergeCell ref="A11:A18"/>
    <mergeCell ref="A30:B30"/>
    <mergeCell ref="F1:J1"/>
    <mergeCell ref="L1:Q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5" sqref="G5"/>
    </sheetView>
  </sheetViews>
  <sheetFormatPr defaultColWidth="9.140625" defaultRowHeight="12.75"/>
  <cols>
    <col min="3" max="3" width="11.7109375" style="0" customWidth="1"/>
    <col min="4" max="4" width="5.421875" style="0" customWidth="1"/>
    <col min="5" max="5" width="13.140625" style="0" customWidth="1"/>
    <col min="7" max="7" width="6.140625" style="0" customWidth="1"/>
    <col min="8" max="8" width="13.140625" style="0" customWidth="1"/>
    <col min="9" max="9" width="12.00390625" style="0" customWidth="1"/>
    <col min="10" max="10" width="12.140625" style="0" customWidth="1"/>
    <col min="13" max="13" width="6.140625" style="0" customWidth="1"/>
    <col min="16" max="16" width="13.8515625" style="0" customWidth="1"/>
  </cols>
  <sheetData>
    <row r="1" spans="5:18" ht="18">
      <c r="E1" s="113" t="s">
        <v>66</v>
      </c>
      <c r="F1" s="113"/>
      <c r="H1" s="113" t="s">
        <v>106</v>
      </c>
      <c r="I1" s="113"/>
      <c r="J1" s="87"/>
      <c r="K1" s="87"/>
      <c r="L1" s="87"/>
      <c r="N1" s="87"/>
      <c r="O1" s="88"/>
      <c r="P1" s="88"/>
      <c r="Q1" s="88"/>
      <c r="R1" s="88"/>
    </row>
    <row r="2" spans="1:18" ht="38.25">
      <c r="A2" s="31"/>
      <c r="B2" s="30"/>
      <c r="C2" s="86" t="s">
        <v>132</v>
      </c>
      <c r="D2" s="30"/>
      <c r="E2" s="86" t="s">
        <v>135</v>
      </c>
      <c r="F2" s="86" t="s">
        <v>136</v>
      </c>
      <c r="H2" s="86" t="s">
        <v>137</v>
      </c>
      <c r="I2" s="86" t="s">
        <v>138</v>
      </c>
      <c r="J2" s="43"/>
      <c r="K2" s="30"/>
      <c r="L2" s="30"/>
      <c r="N2" s="30"/>
      <c r="O2" s="30"/>
      <c r="P2" s="43"/>
      <c r="Q2" s="30"/>
      <c r="R2" s="30"/>
    </row>
    <row r="3" spans="1:18" ht="12.75">
      <c r="A3" s="53" t="s">
        <v>133</v>
      </c>
      <c r="B3" s="32"/>
      <c r="C3" s="32">
        <f>+'Table 4'!D21</f>
        <v>857448.1868602252</v>
      </c>
      <c r="D3" s="32"/>
      <c r="E3" s="34">
        <f>+'Table 4'!O21</f>
        <v>-34995.561358665545</v>
      </c>
      <c r="F3" s="34">
        <f>+'Table 4'!P21</f>
        <v>822452.6255015596</v>
      </c>
      <c r="H3" s="89">
        <f>+'Table 4'!U21</f>
        <v>70962.60340650074</v>
      </c>
      <c r="I3" s="89">
        <f>+'Table 4'!V21</f>
        <v>928410.7902667262</v>
      </c>
      <c r="J3" s="33"/>
      <c r="K3" s="34"/>
      <c r="L3" s="34"/>
      <c r="N3" s="33"/>
      <c r="O3" s="50"/>
      <c r="P3" s="33"/>
      <c r="Q3" s="34"/>
      <c r="R3" s="34"/>
    </row>
    <row r="4" spans="1:20" ht="12.75">
      <c r="A4" s="53" t="s">
        <v>134</v>
      </c>
      <c r="B4" s="32"/>
      <c r="C4" s="32">
        <f>+'Table 16'!D21</f>
        <v>171046.24350190294</v>
      </c>
      <c r="D4" s="32"/>
      <c r="E4" s="34">
        <f>+'Table 16'!P21</f>
        <v>9674.131516932299</v>
      </c>
      <c r="F4" s="34">
        <f>+'Table 16'!Q21</f>
        <v>180720.37501883527</v>
      </c>
      <c r="H4" s="89">
        <f>+'Table 16'!V21</f>
        <v>13937.377650902046</v>
      </c>
      <c r="I4" s="89">
        <f>+'Table 16'!W21</f>
        <v>184983.62115280496</v>
      </c>
      <c r="J4" s="33"/>
      <c r="K4" s="34"/>
      <c r="L4" s="34"/>
      <c r="N4" s="33"/>
      <c r="O4" s="50"/>
      <c r="P4" s="33"/>
      <c r="Q4" s="34"/>
      <c r="R4" s="34"/>
      <c r="S4" s="1"/>
      <c r="T4" s="1"/>
    </row>
    <row r="5" spans="1:21" s="53" customFormat="1" ht="12.75">
      <c r="A5" s="53" t="s">
        <v>58</v>
      </c>
      <c r="B5" s="32"/>
      <c r="C5" s="32">
        <f>+C3+C4</f>
        <v>1028494.4303621281</v>
      </c>
      <c r="D5" s="32"/>
      <c r="E5" s="32">
        <f>+E3+E4</f>
        <v>-25321.429841733247</v>
      </c>
      <c r="F5" s="32">
        <f>+F3+F4</f>
        <v>1003173.0005203949</v>
      </c>
      <c r="G5" s="32"/>
      <c r="H5" s="32">
        <f>+H3+H4</f>
        <v>84899.9810574028</v>
      </c>
      <c r="I5" s="32">
        <f>+I3+I4</f>
        <v>1113394.411419531</v>
      </c>
      <c r="J5" s="33"/>
      <c r="K5" s="34"/>
      <c r="L5" s="34"/>
      <c r="N5" s="33"/>
      <c r="O5" s="50"/>
      <c r="P5" s="33"/>
      <c r="Q5" s="34"/>
      <c r="R5" s="34"/>
      <c r="U5" s="53" t="s">
        <v>60</v>
      </c>
    </row>
    <row r="6" spans="2:18" ht="12.75">
      <c r="B6" s="32"/>
      <c r="C6" s="32"/>
      <c r="D6" s="32"/>
      <c r="E6" s="34"/>
      <c r="F6" s="34"/>
      <c r="H6" s="29"/>
      <c r="I6" s="29"/>
      <c r="J6" s="33"/>
      <c r="K6" s="34"/>
      <c r="L6" s="34"/>
      <c r="N6" s="33"/>
      <c r="O6" s="50"/>
      <c r="P6" s="33"/>
      <c r="Q6" s="34"/>
      <c r="R6" s="34"/>
    </row>
    <row r="7" spans="2:18" ht="12.75">
      <c r="B7" s="32"/>
      <c r="C7" s="32"/>
      <c r="D7" s="32"/>
      <c r="E7" s="34"/>
      <c r="F7" s="34"/>
      <c r="H7" s="29"/>
      <c r="I7" s="29"/>
      <c r="J7" s="33"/>
      <c r="K7" s="34"/>
      <c r="L7" s="34"/>
      <c r="N7" s="33"/>
      <c r="O7" s="50"/>
      <c r="P7" s="33"/>
      <c r="Q7" s="34"/>
      <c r="R7" s="34"/>
    </row>
    <row r="8" spans="2:18" ht="12.75">
      <c r="B8" s="32"/>
      <c r="C8" s="32"/>
      <c r="D8" s="32"/>
      <c r="E8" s="34"/>
      <c r="F8" s="34"/>
      <c r="H8" s="29"/>
      <c r="I8" s="29"/>
      <c r="J8" s="33"/>
      <c r="K8" s="34"/>
      <c r="L8" s="34"/>
      <c r="N8" s="33"/>
      <c r="O8" s="50"/>
      <c r="P8" s="33"/>
      <c r="Q8" s="34"/>
      <c r="R8" s="34"/>
    </row>
    <row r="9" spans="2:18" ht="12.75">
      <c r="B9" s="32"/>
      <c r="C9" s="32"/>
      <c r="D9" s="32"/>
      <c r="E9" s="34"/>
      <c r="F9" s="34"/>
      <c r="H9" s="29"/>
      <c r="I9" s="29"/>
      <c r="J9" s="33"/>
      <c r="K9" s="34"/>
      <c r="L9" s="34"/>
      <c r="N9" s="33"/>
      <c r="O9" s="50"/>
      <c r="P9" s="33"/>
      <c r="Q9" s="34"/>
      <c r="R9" s="34"/>
    </row>
    <row r="10" spans="2:18" ht="12.75">
      <c r="B10" s="32"/>
      <c r="C10" s="32"/>
      <c r="D10" s="32"/>
      <c r="E10" s="34"/>
      <c r="F10" s="34"/>
      <c r="H10" s="29"/>
      <c r="I10" s="29"/>
      <c r="J10" s="33"/>
      <c r="K10" s="34"/>
      <c r="L10" s="34"/>
      <c r="N10" s="33"/>
      <c r="O10" s="50"/>
      <c r="P10" s="33"/>
      <c r="Q10" s="34"/>
      <c r="R10" s="34"/>
    </row>
    <row r="11" spans="2:18" ht="12.75">
      <c r="B11" s="32"/>
      <c r="C11" s="32"/>
      <c r="D11" s="32"/>
      <c r="E11" s="34"/>
      <c r="F11" s="34"/>
      <c r="H11" s="29"/>
      <c r="I11" s="29"/>
      <c r="J11" s="33"/>
      <c r="K11" s="34"/>
      <c r="L11" s="34"/>
      <c r="N11" s="33"/>
      <c r="O11" s="50"/>
      <c r="P11" s="33"/>
      <c r="Q11" s="34"/>
      <c r="R11" s="34"/>
    </row>
    <row r="12" spans="2:18" ht="12.75">
      <c r="B12" s="32"/>
      <c r="C12" s="32"/>
      <c r="D12" s="32"/>
      <c r="E12" s="34"/>
      <c r="F12" s="34"/>
      <c r="H12" s="29"/>
      <c r="I12" s="29"/>
      <c r="J12" s="33"/>
      <c r="K12" s="34"/>
      <c r="L12" s="34"/>
      <c r="N12" s="33"/>
      <c r="O12" s="50"/>
      <c r="P12" s="33"/>
      <c r="Q12" s="34"/>
      <c r="R12" s="34"/>
    </row>
    <row r="13" spans="2:18" ht="12.75" customHeight="1">
      <c r="B13" s="32"/>
      <c r="C13" s="32"/>
      <c r="D13" s="32"/>
      <c r="E13" s="34"/>
      <c r="F13" s="34"/>
      <c r="H13" s="29"/>
      <c r="I13" s="29"/>
      <c r="J13" s="33"/>
      <c r="K13" s="34"/>
      <c r="L13" s="34"/>
      <c r="N13" s="33"/>
      <c r="O13" s="50"/>
      <c r="P13" s="33"/>
      <c r="Q13" s="34"/>
      <c r="R13" s="34"/>
    </row>
    <row r="14" spans="3:18" ht="12.75">
      <c r="C14" s="32"/>
      <c r="E14" s="34"/>
      <c r="F14" s="34"/>
      <c r="H14" s="29"/>
      <c r="I14" s="29"/>
      <c r="J14" s="33"/>
      <c r="K14" s="34"/>
      <c r="L14" s="34"/>
      <c r="N14" s="33"/>
      <c r="O14" s="50"/>
      <c r="P14" s="33"/>
      <c r="Q14" s="34"/>
      <c r="R14" s="34"/>
    </row>
    <row r="15" spans="3:18" ht="12.75">
      <c r="C15" s="32"/>
      <c r="E15" s="34"/>
      <c r="F15" s="34"/>
      <c r="H15" s="29"/>
      <c r="I15" s="29"/>
      <c r="J15" s="33"/>
      <c r="K15" s="34"/>
      <c r="L15" s="34"/>
      <c r="N15" s="33"/>
      <c r="O15" s="50"/>
      <c r="P15" s="33"/>
      <c r="Q15" s="34"/>
      <c r="R15" s="34"/>
    </row>
    <row r="16" spans="3:18" ht="12.75">
      <c r="C16" s="32"/>
      <c r="E16" s="34"/>
      <c r="F16" s="34"/>
      <c r="H16" s="29"/>
      <c r="I16" s="29"/>
      <c r="J16" s="33"/>
      <c r="K16" s="34"/>
      <c r="L16" s="34"/>
      <c r="N16" s="33"/>
      <c r="O16" s="50"/>
      <c r="P16" s="33"/>
      <c r="Q16" s="34"/>
      <c r="R16" s="34"/>
    </row>
    <row r="17" spans="3:18" ht="12.75">
      <c r="C17" s="32"/>
      <c r="E17" s="34"/>
      <c r="F17" s="34"/>
      <c r="H17" s="29"/>
      <c r="I17" s="29"/>
      <c r="J17" s="33"/>
      <c r="K17" s="34"/>
      <c r="L17" s="34"/>
      <c r="N17" s="33"/>
      <c r="O17" s="50"/>
      <c r="P17" s="33"/>
      <c r="Q17" s="34"/>
      <c r="R17" s="34"/>
    </row>
    <row r="18" spans="3:18" ht="12.75">
      <c r="C18" s="32"/>
      <c r="E18" s="83"/>
      <c r="F18" s="83"/>
      <c r="G18" s="83"/>
      <c r="H18" s="29"/>
      <c r="I18" s="29"/>
      <c r="J18" s="33"/>
      <c r="K18" s="34"/>
      <c r="L18" s="34"/>
      <c r="N18" s="33"/>
      <c r="O18" s="50"/>
      <c r="P18" s="33"/>
      <c r="Q18" s="34"/>
      <c r="R18" s="34"/>
    </row>
    <row r="19" spans="1:18" ht="12.75">
      <c r="A19" s="84"/>
      <c r="B19" s="83"/>
      <c r="C19" s="83"/>
      <c r="D19" s="83"/>
      <c r="E19" s="85"/>
      <c r="F19" s="85"/>
      <c r="G19" s="85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ht="12.7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12.75">
      <c r="A21" s="84"/>
      <c r="B21" s="85"/>
      <c r="C21" s="85"/>
      <c r="D21" s="85"/>
      <c r="E21" s="43"/>
      <c r="F21" s="30"/>
      <c r="G21" s="30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2" ht="12.75">
      <c r="A22" s="30"/>
      <c r="B22" s="30"/>
      <c r="C22" s="82"/>
      <c r="D22" s="30"/>
      <c r="E22" s="46"/>
      <c r="F22" s="1"/>
      <c r="G22" s="34"/>
      <c r="H22" s="30"/>
      <c r="I22" s="44"/>
      <c r="J22" s="33"/>
      <c r="K22" s="32">
        <v>1.1088664421997756</v>
      </c>
      <c r="L22" s="34"/>
    </row>
    <row r="23" spans="1:12" ht="12.75">
      <c r="A23" s="32"/>
      <c r="B23" s="32"/>
      <c r="C23" s="45"/>
      <c r="D23" s="45"/>
      <c r="E23" s="46"/>
      <c r="F23" s="1"/>
      <c r="G23" s="34"/>
      <c r="H23" s="11"/>
      <c r="I23" s="47"/>
      <c r="J23" s="33"/>
      <c r="K23" s="32"/>
      <c r="L23" s="34"/>
    </row>
    <row r="24" spans="1:12" ht="12.75">
      <c r="A24" s="32"/>
      <c r="B24" s="32"/>
      <c r="C24" s="45"/>
      <c r="D24" s="45"/>
      <c r="E24" s="46"/>
      <c r="F24" s="1"/>
      <c r="G24" s="1"/>
      <c r="H24" s="11"/>
      <c r="I24" s="47"/>
      <c r="J24" s="33"/>
      <c r="K24" s="32"/>
      <c r="L24" s="34"/>
    </row>
    <row r="25" spans="1:12" ht="12.75">
      <c r="A25" s="1"/>
      <c r="B25" s="1"/>
      <c r="C25" s="48"/>
      <c r="D25" s="48"/>
      <c r="H25" s="49"/>
      <c r="I25" s="47"/>
      <c r="J25" s="33"/>
      <c r="K25" s="32"/>
      <c r="L25" s="34"/>
    </row>
    <row r="26" spans="5:12" ht="12.75">
      <c r="E26" s="41"/>
      <c r="F26" s="34"/>
      <c r="G26" s="33"/>
      <c r="J26" s="33"/>
      <c r="K26" s="32"/>
      <c r="L26" s="34"/>
    </row>
    <row r="27" spans="1:12" ht="12.75">
      <c r="A27" s="37"/>
      <c r="B27" s="39"/>
      <c r="C27" s="39"/>
      <c r="D27" s="39"/>
      <c r="E27" s="42"/>
      <c r="F27" s="34"/>
      <c r="G27" s="36"/>
      <c r="H27" s="32"/>
      <c r="I27" s="34"/>
      <c r="J27" s="33"/>
      <c r="K27" s="32"/>
      <c r="L27" s="34"/>
    </row>
    <row r="28" spans="1:12" ht="12.75">
      <c r="A28" s="37"/>
      <c r="B28" s="42"/>
      <c r="C28" s="42"/>
      <c r="D28" s="42"/>
      <c r="E28" s="42"/>
      <c r="F28" s="34"/>
      <c r="G28" s="36"/>
      <c r="H28" s="35"/>
      <c r="I28" s="34"/>
      <c r="J28" s="36"/>
      <c r="K28" s="35"/>
      <c r="L28" s="34"/>
    </row>
    <row r="29" spans="1:12" ht="12.75">
      <c r="A29" s="37"/>
      <c r="B29" s="42"/>
      <c r="C29" s="42"/>
      <c r="D29" s="42"/>
      <c r="E29" s="32"/>
      <c r="F29" s="32"/>
      <c r="G29" s="31"/>
      <c r="H29" s="35"/>
      <c r="I29" s="34"/>
      <c r="J29" s="36"/>
      <c r="K29" s="35"/>
      <c r="L29" s="34"/>
    </row>
    <row r="30" spans="1:12" ht="12.75">
      <c r="A30" s="37"/>
      <c r="B30" s="32"/>
      <c r="C30" s="32"/>
      <c r="D30" s="32"/>
      <c r="H30" s="32"/>
      <c r="I30" s="32"/>
      <c r="J30" s="31"/>
      <c r="K30" s="32"/>
      <c r="L30" s="32"/>
    </row>
    <row r="31" spans="1:12" ht="12.75">
      <c r="A31" s="4"/>
      <c r="L31" s="1"/>
    </row>
  </sheetData>
  <sheetProtection/>
  <mergeCells count="2"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</dc:creator>
  <cp:keywords/>
  <dc:description/>
  <cp:lastModifiedBy>Bahram Bekhradnia</cp:lastModifiedBy>
  <cp:lastPrinted>2006-01-26T18:39:12Z</cp:lastPrinted>
  <dcterms:created xsi:type="dcterms:W3CDTF">2006-01-26T14:57:44Z</dcterms:created>
  <dcterms:modified xsi:type="dcterms:W3CDTF">2008-11-07T15:11:12Z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